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E:\K1NKC\K1NKC\"/>
    </mc:Choice>
  </mc:AlternateContent>
  <xr:revisionPtr revIDLastSave="0" documentId="8_{5EBE2F82-C6CB-4F67-8DC4-3862D821EA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ýpočty" sheetId="1" r:id="rId1"/>
    <sheet name="Vstupní dat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B18" i="2"/>
  <c r="C17" i="2"/>
  <c r="B17" i="2"/>
  <c r="K14" i="1"/>
  <c r="L14" i="1" s="1"/>
  <c r="K13" i="1"/>
  <c r="L13" i="1" s="1"/>
  <c r="K12" i="1"/>
  <c r="L12" i="1" s="1"/>
  <c r="K11" i="1"/>
  <c r="L11" i="1" s="1"/>
  <c r="K10" i="1"/>
  <c r="L10" i="1" s="1"/>
  <c r="K9" i="1"/>
  <c r="L9" i="1" s="1"/>
  <c r="G9" i="1"/>
  <c r="G10" i="1" s="1"/>
  <c r="B9" i="1"/>
  <c r="B10" i="1" s="1"/>
  <c r="K8" i="1"/>
  <c r="L8" i="1" s="1"/>
  <c r="G8" i="1"/>
  <c r="I12" i="1" s="1"/>
  <c r="B8" i="1"/>
  <c r="K7" i="1"/>
  <c r="L7" i="1" s="1"/>
  <c r="B7" i="1"/>
  <c r="K6" i="1"/>
  <c r="L6" i="1" s="1"/>
  <c r="K5" i="1"/>
  <c r="L5" i="1" s="1"/>
  <c r="K4" i="1"/>
  <c r="L4" i="1" s="1"/>
  <c r="K3" i="1"/>
  <c r="L3" i="1" s="1"/>
  <c r="B12" i="1" l="1"/>
  <c r="D15" i="1" s="1"/>
  <c r="G7" i="1"/>
  <c r="D12" i="2" l="1"/>
  <c r="E12" i="2" s="1"/>
  <c r="D6" i="2"/>
  <c r="E6" i="2" s="1"/>
  <c r="M12" i="1"/>
  <c r="M7" i="1"/>
  <c r="D5" i="2"/>
  <c r="E5" i="2" s="1"/>
  <c r="M9" i="1"/>
  <c r="D11" i="2"/>
  <c r="E11" i="2" s="1"/>
  <c r="D10" i="2"/>
  <c r="E10" i="2" s="1"/>
  <c r="M6" i="1"/>
  <c r="M5" i="1"/>
  <c r="D16" i="2"/>
  <c r="E16" i="2" s="1"/>
  <c r="G12" i="1"/>
  <c r="M14" i="1"/>
  <c r="M4" i="1"/>
  <c r="M3" i="1"/>
  <c r="D15" i="2"/>
  <c r="E15" i="2" s="1"/>
  <c r="D9" i="2"/>
  <c r="E9" i="2" s="1"/>
  <c r="M11" i="1"/>
  <c r="M8" i="1"/>
  <c r="D14" i="2"/>
  <c r="E14" i="2" s="1"/>
  <c r="D8" i="2"/>
  <c r="E8" i="2" s="1"/>
  <c r="M13" i="1"/>
  <c r="M10" i="1"/>
  <c r="D13" i="2"/>
  <c r="E13" i="2" s="1"/>
  <c r="D7" i="2"/>
  <c r="E7" i="2" s="1"/>
  <c r="B13" i="1"/>
  <c r="B15" i="1" s="1"/>
</calcChain>
</file>

<file path=xl/sharedStrings.xml><?xml version="1.0" encoding="utf-8"?>
<sst xmlns="http://schemas.openxmlformats.org/spreadsheetml/2006/main" count="65" uniqueCount="55">
  <si>
    <t>Odhad nákladové funkce pekárny</t>
  </si>
  <si>
    <t>Objem Q</t>
  </si>
  <si>
    <t>Skutečné náklady</t>
  </si>
  <si>
    <t>Regresní přímka</t>
  </si>
  <si>
    <t>Metoda dvou období (nejvyšší a nejnižší objem)</t>
  </si>
  <si>
    <t>Regresní a korelační analýza</t>
  </si>
  <si>
    <t>Nejnižší objem výroby</t>
  </si>
  <si>
    <t>tis. kusů</t>
  </si>
  <si>
    <t>minimum Q</t>
  </si>
  <si>
    <t>Fixní náklady a</t>
  </si>
  <si>
    <t>tis. Kč/měsíc</t>
  </si>
  <si>
    <t>regresní konstanta</t>
  </si>
  <si>
    <t>Náklady v nejnižším období</t>
  </si>
  <si>
    <t>tis. Kč</t>
  </si>
  <si>
    <t>odpovídající N</t>
  </si>
  <si>
    <t>Variabilní náklady b</t>
  </si>
  <si>
    <t>Kč/kus</t>
  </si>
  <si>
    <t>směrnice přímky</t>
  </si>
  <si>
    <t>Nejvyšší objem výroby</t>
  </si>
  <si>
    <t>maximum Q</t>
  </si>
  <si>
    <t>Korelační koeficient r</t>
  </si>
  <si>
    <t>síla přímé závislosti</t>
  </si>
  <si>
    <t>Náklady v nejvyšším období</t>
  </si>
  <si>
    <t>Koeficient determinace R²</t>
  </si>
  <si>
    <t>vysvětlený podíl variability</t>
  </si>
  <si>
    <t>(Nmax − Nmin) / (Qmax − Qmin)</t>
  </si>
  <si>
    <t>Výsledná funkce</t>
  </si>
  <si>
    <t>+</t>
  </si>
  <si>
    <t>× Q</t>
  </si>
  <si>
    <t>Nmax − b × Qmax</t>
  </si>
  <si>
    <t>Čím více se r blíží 1, tím silnější je přímá závislost mezi výrobou a náklady.</t>
  </si>
  <si>
    <t>Závěr: obě metody dávají u těchto dat téměř shodný odhad nákladové funkce.</t>
  </si>
  <si>
    <t>Interpretace: 1 tisíc dalších kusů zvyšuje podle regrese celkové náklady přibližně o 8,01 tis. Kč.</t>
  </si>
  <si>
    <t>Pekárna – vstupní data pro odhad nákladové funkce</t>
  </si>
  <si>
    <t>Měsíc</t>
  </si>
  <si>
    <t>Objem výroby Q
(tis. kusů)</t>
  </si>
  <si>
    <t>Celkové náklady N
(tis. Kč)</t>
  </si>
  <si>
    <t>Odhad regrese N̂
(tis. Kč)</t>
  </si>
  <si>
    <t>Reziduum
N − N̂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</si>
  <si>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</si>
  <si>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</si>
  <si>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</si>
  <si>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</si>
  <si>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</si>
  <si>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</si>
  <si>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</si>
  <si>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</si>
  <si>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</si>
  <si>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</si>
  <si>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</si>
  <si>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</si>
  <si>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</si>
  <si>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Měsíční průměr</t>
  </si>
  <si>
    <t>Žluté buňky jsou vstupy. Modré buňky se dopočítávají automaticky podle regresního modelu.</t>
  </si>
  <si>
    <t>Zdroj: ilustrativní měsíční data pekárny použitá v přednášce K1NKC.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</si>
</sst>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>
    <font>
      <sz val="11"/>
      <name val="Carlito"/>
    </font>
    <font>
      <sz val="10"/>
      <color rgb="FF202124"/>
      <name val="Arial"/>
    </font>
    <font>
      <b/>
      <sz val="17"/>
      <color rgb="FF202124"/>
      <name val="Arial"/>
    </font>
    <font>
      <b/>
      <sz val="10"/>
      <color rgb="FFFFFFFF"/>
      <name val="Arial"/>
    </font>
    <font>
      <b/>
      <sz val="10"/>
      <color rgb="FF202124"/>
      <name val="Arial"/>
    </font>
    <font>
      <i/>
      <sz val="10"/>
      <color rgb="FF202124"/>
      <name val="Arial"/>
    </font>
    <font>
      <i/>
      <sz val="9"/>
      <color rgb="FF666666"/>
      <name val="Arial"/>
    </font>
    <font>
      <b/>
      <sz val="18"/>
      <color rgb="FF202124"/>
      <name val="Arial"/>
    </font>
    <font>
      <b/>
      <sz val="11"/>
      <color rgb="FFFFFFFF"/>
      <name val="Arial"/>
    </font>
    <font>
      <i/>
      <sz val="9"/>
      <color rgb="FF202124"/>
      <name val="Arial"/>
    </font>
    <font>
      <b/>
      <sz val="13"/>
      <color rgb="FFD71920"/>
      <name val="Arial"/>
    </font>
    <font>
      <b/>
      <sz val="11"/>
      <color rgb="FF254F73"/>
      <name val="Arial"/>
    </font>
    <font>
      <sz val="1"/>
      <color rgb="FFFFFFFF"/>
      <name val="Arial"/>
    </font>
    <font>
      <i/>
      <sz val="10"/>
      <color rgb="FF555555"/>
      <name val="Arial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D71920"/>
      </patternFill>
    </fill>
    <fill>
      <patternFill patternType="solid">
        <fgColor rgb="FF254F73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AF2F8"/>
      </patternFill>
    </fill>
    <fill>
      <patternFill patternType="solid">
        <fgColor rgb="FFFCE4E4"/>
      </patternFill>
    </fill>
  </fills>
  <borders count="5">
    <border>
      <left/>
      <right/>
      <top/>
      <bottom/>
      <diagonal/>
    </border>
    <border>
      <left style="thin">
        <color rgb="FFD9E0E6"/>
      </left>
      <right style="thin">
        <color rgb="FFD9E0E6"/>
      </right>
      <top style="thin">
        <color rgb="FFD9E0E6"/>
      </top>
      <bottom style="thin">
        <color rgb="FFD9E0E6"/>
      </bottom>
      <diagonal/>
    </border>
    <border>
      <left style="thin">
        <color rgb="FF254F73"/>
      </left>
      <right/>
      <top style="thin">
        <color rgb="FF254F73"/>
      </top>
      <bottom style="thin">
        <color rgb="FF254F73"/>
      </bottom>
      <diagonal/>
    </border>
    <border>
      <left/>
      <right/>
      <top style="thin">
        <color rgb="FF254F73"/>
      </top>
      <bottom style="thin">
        <color rgb="FF254F73"/>
      </bottom>
      <diagonal/>
    </border>
    <border>
      <left/>
      <right style="thin">
        <color rgb="FF254F73"/>
      </right>
      <top style="thin">
        <color rgb="FF254F73"/>
      </top>
      <bottom style="thin">
        <color rgb="FF254F73"/>
      </bottom>
      <diagonal/>
    </border>
  </borders>
  <cellStyleXfs count="2">
    <xf numFmtId="0" fontId="0" fillId="0" borderId="0"/>
    <xf numFmtId="0" fontId="14" fillId="0" borderId="0"/>
  </cellStyleXfs>
  <cellXfs count="30">
    <xf numFmtId="0" fontId="0" fillId="0" borderId="0" xfId="0"/>
    <xf numFmtId="0" fontId="1" fillId="0" borderId="0" xfId="1" applyFont="1"/>
    <xf numFmtId="0" fontId="1" fillId="2" borderId="0" xfId="1" applyFont="1" applyFill="1"/>
    <xf numFmtId="0" fontId="3" fillId="3" borderId="0" xfId="1" applyFont="1" applyFill="1" applyAlignment="1">
      <alignment horizontal="center" vertical="center" wrapText="1"/>
    </xf>
    <xf numFmtId="0" fontId="1" fillId="0" borderId="1" xfId="1" applyFont="1" applyBorder="1"/>
    <xf numFmtId="0" fontId="1" fillId="4" borderId="1" xfId="1" applyFont="1" applyFill="1" applyBorder="1"/>
    <xf numFmtId="0" fontId="1" fillId="5" borderId="1" xfId="1" applyFont="1" applyFill="1" applyBorder="1"/>
    <xf numFmtId="0" fontId="1" fillId="4" borderId="1" xfId="1" applyFont="1" applyFill="1" applyBorder="1" applyAlignment="1">
      <alignment vertical="center"/>
    </xf>
    <xf numFmtId="3" fontId="1" fillId="5" borderId="1" xfId="1" applyNumberFormat="1" applyFont="1" applyFill="1" applyBorder="1" applyAlignment="1">
      <alignment horizontal="right" vertical="center"/>
    </xf>
    <xf numFmtId="4" fontId="1" fillId="6" borderId="1" xfId="1" applyNumberFormat="1" applyFont="1" applyFill="1" applyBorder="1" applyAlignment="1">
      <alignment horizontal="right" vertical="center"/>
    </xf>
    <xf numFmtId="0" fontId="4" fillId="4" borderId="1" xfId="1" applyFont="1" applyFill="1" applyBorder="1"/>
    <xf numFmtId="3" fontId="4" fillId="4" borderId="1" xfId="1" applyNumberFormat="1" applyFont="1" applyFill="1" applyBorder="1"/>
    <xf numFmtId="4" fontId="4" fillId="4" borderId="1" xfId="1" applyNumberFormat="1" applyFont="1" applyFill="1" applyBorder="1"/>
    <xf numFmtId="3" fontId="1" fillId="5" borderId="1" xfId="1" applyNumberFormat="1" applyFont="1" applyFill="1" applyBorder="1"/>
    <xf numFmtId="4" fontId="1" fillId="5" borderId="1" xfId="1" applyNumberFormat="1" applyFont="1" applyFill="1" applyBorder="1"/>
    <xf numFmtId="4" fontId="1" fillId="6" borderId="1" xfId="1" applyNumberFormat="1" applyFont="1" applyFill="1" applyBorder="1"/>
    <xf numFmtId="164" fontId="1" fillId="6" borderId="1" xfId="1" applyNumberFormat="1" applyFont="1" applyFill="1" applyBorder="1"/>
    <xf numFmtId="0" fontId="10" fillId="7" borderId="0" xfId="1" applyFont="1" applyFill="1" applyAlignment="1">
      <alignment horizontal="center" vertical="center"/>
    </xf>
    <xf numFmtId="4" fontId="10" fillId="7" borderId="0" xfId="1" applyNumberFormat="1" applyFont="1" applyFill="1" applyAlignment="1">
      <alignment horizontal="center" vertical="center"/>
    </xf>
    <xf numFmtId="0" fontId="12" fillId="0" borderId="0" xfId="1" applyFont="1"/>
    <xf numFmtId="0" fontId="7" fillId="0" borderId="0" xfId="1" applyFont="1" applyAlignment="1">
      <alignment vertical="center"/>
    </xf>
    <xf numFmtId="0" fontId="8" fillId="3" borderId="2" xfId="1" applyFont="1" applyFill="1" applyBorder="1" applyAlignment="1">
      <alignment vertical="center"/>
    </xf>
    <xf numFmtId="0" fontId="8" fillId="3" borderId="3" xfId="1" applyFont="1" applyFill="1" applyBorder="1" applyAlignment="1">
      <alignment vertical="center"/>
    </xf>
    <xf numFmtId="0" fontId="8" fillId="3" borderId="4" xfId="1" applyFont="1" applyFill="1" applyBorder="1" applyAlignment="1">
      <alignment vertical="center"/>
    </xf>
    <xf numFmtId="0" fontId="9" fillId="6" borderId="0" xfId="1" applyFont="1" applyFill="1" applyAlignment="1">
      <alignment wrapText="1"/>
    </xf>
    <xf numFmtId="0" fontId="11" fillId="6" borderId="0" xfId="1" applyFont="1" applyFill="1" applyAlignment="1">
      <alignment horizontal="center" vertical="center" wrapText="1"/>
    </xf>
    <xf numFmtId="0" fontId="13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5" fillId="5" borderId="0" xfId="1" applyFont="1" applyFill="1" applyAlignment="1">
      <alignment wrapText="1"/>
    </xf>
    <xf numFmtId="0" fontId="6" fillId="0" borderId="0" xfId="1" applyFont="1"/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c:style val="2"/>
  <c:chart>
    <c:title>
      <c:tx>
        <c:rich>
          <a:bodyPr/>
          <a:lstStyle/>
          <a:p>
            <a:r>
              <a:rPr lang="cs-CZ" sz="975">
                <a:latin typeface="Arial"/>
                <a:ea typeface="Arial"/>
                <a:cs typeface="Arial"/>
              </a:rPr>
              <a:t>Skutečné náklady a regresní odhad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Skutečné náklady</c:v>
          </c:tx>
          <c:spPr>
            <a:ln w="19050">
              <a:solidFill>
                <a:srgbClr val="254F73"/>
              </a:solidFill>
              <a:prstDash val="solid"/>
            </a:ln>
          </c:spPr>
          <c:marker>
            <c:symbol val="none"/>
          </c:marker>
          <c:cat>
            <c:numRef>
              <c:f>Výpočty!$K$3:$K$14</c:f>
              <c:numCache>
                <c:formatCode>General</c:formatCode>
                <c:ptCount val="12"/>
                <c:pt idx="0">
                  <c:v>42</c:v>
                </c:pt>
                <c:pt idx="1">
                  <c:v>48</c:v>
                </c:pt>
                <c:pt idx="2">
                  <c:v>52</c:v>
                </c:pt>
                <c:pt idx="3">
                  <c:v>55</c:v>
                </c:pt>
                <c:pt idx="4">
                  <c:v>58</c:v>
                </c:pt>
                <c:pt idx="5">
                  <c:v>60</c:v>
                </c:pt>
                <c:pt idx="6">
                  <c:v>62</c:v>
                </c:pt>
                <c:pt idx="7">
                  <c:v>66</c:v>
                </c:pt>
                <c:pt idx="8">
                  <c:v>68</c:v>
                </c:pt>
                <c:pt idx="9">
                  <c:v>72</c:v>
                </c:pt>
                <c:pt idx="10">
                  <c:v>74</c:v>
                </c:pt>
                <c:pt idx="11">
                  <c:v>80</c:v>
                </c:pt>
              </c:numCache>
            </c:numRef>
          </c:cat>
          <c:val>
            <c:numRef>
              <c:f>Výpočty!$L$3:$L$14</c:f>
              <c:numCache>
                <c:formatCode>General</c:formatCode>
                <c:ptCount val="12"/>
                <c:pt idx="0">
                  <c:v>786</c:v>
                </c:pt>
                <c:pt idx="1">
                  <c:v>838</c:v>
                </c:pt>
                <c:pt idx="2">
                  <c:v>864</c:v>
                </c:pt>
                <c:pt idx="3">
                  <c:v>886</c:v>
                </c:pt>
                <c:pt idx="4">
                  <c:v>916</c:v>
                </c:pt>
                <c:pt idx="5">
                  <c:v>932</c:v>
                </c:pt>
                <c:pt idx="6">
                  <c:v>950</c:v>
                </c:pt>
                <c:pt idx="7">
                  <c:v>976</c:v>
                </c:pt>
                <c:pt idx="8">
                  <c:v>992</c:v>
                </c:pt>
                <c:pt idx="9">
                  <c:v>1028</c:v>
                </c:pt>
                <c:pt idx="10">
                  <c:v>1044</c:v>
                </c:pt>
                <c:pt idx="11">
                  <c:v>1090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D7-4B94-87E8-ACC7CF6AF1CA}"/>
            </c:ext>
          </c:extLst>
        </c:ser>
        <c:ser>
          <c:idx val="1"/>
          <c:order val="1"/>
          <c:tx>
            <c:v>Regresní přímka</c:v>
          </c:tx>
          <c:spPr>
            <a:ln w="19050">
              <a:solidFill>
                <a:srgbClr val="D71920"/>
              </a:solidFill>
              <a:prstDash val="dash"/>
            </a:ln>
          </c:spPr>
          <c:marker>
            <c:symbol val="none"/>
          </c:marker>
          <c:cat>
            <c:numRef>
              <c:f>Výpočty!$K$3:$K$14</c:f>
              <c:numCache>
                <c:formatCode>General</c:formatCode>
                <c:ptCount val="12"/>
                <c:pt idx="0">
                  <c:v>42</c:v>
                </c:pt>
                <c:pt idx="1">
                  <c:v>48</c:v>
                </c:pt>
                <c:pt idx="2">
                  <c:v>52</c:v>
                </c:pt>
                <c:pt idx="3">
                  <c:v>55</c:v>
                </c:pt>
                <c:pt idx="4">
                  <c:v>58</c:v>
                </c:pt>
                <c:pt idx="5">
                  <c:v>60</c:v>
                </c:pt>
                <c:pt idx="6">
                  <c:v>62</c:v>
                </c:pt>
                <c:pt idx="7">
                  <c:v>66</c:v>
                </c:pt>
                <c:pt idx="8">
                  <c:v>68</c:v>
                </c:pt>
                <c:pt idx="9">
                  <c:v>72</c:v>
                </c:pt>
                <c:pt idx="10">
                  <c:v>74</c:v>
                </c:pt>
                <c:pt idx="11">
                  <c:v>80</c:v>
                </c:pt>
              </c:numCache>
            </c:numRef>
          </c:cat>
          <c:val>
            <c:numRef>
              <c:f>Výpočty!$M$3:$M$14</c:f>
              <c:numCache>
                <c:formatCode>General</c:formatCode>
                <c:ptCount val="12"/>
                <c:pt idx="0">
                  <c:v>786.39454468650058</c:v>
                </c:pt>
                <c:pt idx="1">
                  <c:v>834.42713173616562</c:v>
                </c:pt>
                <c:pt idx="2">
                  <c:v>866.44885643594239</c:v>
                </c:pt>
                <c:pt idx="3">
                  <c:v>890.46514996077485</c:v>
                </c:pt>
                <c:pt idx="4">
                  <c:v>914.48144348560743</c:v>
                </c:pt>
                <c:pt idx="5">
                  <c:v>930.49230583549581</c:v>
                </c:pt>
                <c:pt idx="6">
                  <c:v>946.50316818538408</c:v>
                </c:pt>
                <c:pt idx="7">
                  <c:v>978.52489288516085</c:v>
                </c:pt>
                <c:pt idx="8">
                  <c:v>994.53575523504924</c:v>
                </c:pt>
                <c:pt idx="9">
                  <c:v>1026.557479934826</c:v>
                </c:pt>
                <c:pt idx="10">
                  <c:v>1042.5683422847144</c:v>
                </c:pt>
                <c:pt idx="11">
                  <c:v>1090.6009293343793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D7-4B94-87E8-ACC7CF6AF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cs-CZ"/>
                  <a:t>Objem výroby Q (tis. kusů)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cs-CZ"/>
          </a:p>
        </c:txPr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r>
                  <a:rPr lang="cs-CZ"/>
                  <a:t>Celkové náklady N (tis. Kč)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txPr>
          <a:bodyPr anchorCtr="1"/>
          <a:lstStyle/>
          <a:p>
            <a:pPr>
              <a:defRPr sz="675">
                <a:latin typeface="Arial"/>
                <a:ea typeface="Arial"/>
                <a:cs typeface="Arial"/>
              </a:defRPr>
            </a:pPr>
            <a:endParaRPr lang="cs-CZ"/>
          </a:p>
        </c:txPr>
        <c:crossAx val="48650112"/>
        <c:crosses val="autoZero"/>
        <c:crossBetween val="between"/>
      </c:valAx>
    </c:plotArea>
    <c:legend>
      <c:legendPos val="b"/>
      <c:overlay val="0"/>
      <c:txPr>
        <a:bodyPr anchorCtr="1"/>
        <a:lstStyle/>
        <a:p>
          <a:pPr>
            <a:defRPr sz="750"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71920"/>
  </sheetPr>
  <dimension ref="A1:M60"/>
  <sheetViews>
    <sheetView showGridLines="0" tabSelected="1" workbookViewId="0">
      <pane ySplit="3" topLeftCell="A4" activePane="bottomLeft" state="frozen"/>
      <selection pane="bottomLeft" activeCell="B9" sqref="B9"/>
    </sheetView>
  </sheetViews>
  <sheetFormatPr defaultRowHeight="13.8"/>
  <cols>
    <col min="1" max="1" width="29" customWidth="1"/>
    <col min="2" max="2" width="13" customWidth="1"/>
    <col min="3" max="3" width="15" customWidth="1"/>
    <col min="4" max="4" width="25" customWidth="1"/>
    <col min="5" max="5" width="7" customWidth="1"/>
    <col min="6" max="6" width="27" customWidth="1"/>
    <col min="7" max="7" width="14" customWidth="1"/>
    <col min="8" max="8" width="6" customWidth="1"/>
    <col min="9" max="9" width="24" customWidth="1"/>
    <col min="10" max="10" width="7" customWidth="1"/>
    <col min="11" max="13" width="0.1992187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8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1"/>
      <c r="K2" s="19" t="s">
        <v>1</v>
      </c>
      <c r="L2" s="19" t="s">
        <v>2</v>
      </c>
      <c r="M2" s="19" t="s">
        <v>3</v>
      </c>
    </row>
    <row r="3" spans="1:13" ht="4.95" customHeight="1">
      <c r="A3" s="2"/>
      <c r="B3" s="2"/>
      <c r="C3" s="2"/>
      <c r="D3" s="2"/>
      <c r="E3" s="2"/>
      <c r="F3" s="2"/>
      <c r="G3" s="2"/>
      <c r="H3" s="2"/>
      <c r="I3" s="2"/>
      <c r="J3" s="1"/>
      <c r="K3" s="19">
        <f>SMALL('Vstupní data'!$B$5:$B$16,ROWS($K$3:K3))</f>
        <v>42</v>
      </c>
      <c r="L3" s="19">
        <f>SUMIF('Vstupní data'!$B$5:$B$16,K3,'Vstupní data'!$C$5:$C$16)</f>
        <v>786</v>
      </c>
      <c r="M3" s="19">
        <f t="shared" ref="M3:M14" si="0">$G$7+$G$8*K3</f>
        <v>786.39454468650058</v>
      </c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9">
        <f>SMALL('Vstupní data'!$B$5:$B$16,ROWS($K$3:K4))</f>
        <v>48</v>
      </c>
      <c r="L4" s="19">
        <f>SUMIF('Vstupní data'!$B$5:$B$16,K4,'Vstupní data'!$C$5:$C$16)</f>
        <v>838</v>
      </c>
      <c r="M4" s="19">
        <f t="shared" si="0"/>
        <v>834.42713173616562</v>
      </c>
    </row>
    <row r="5" spans="1:13" ht="24" customHeight="1">
      <c r="A5" s="21" t="s">
        <v>4</v>
      </c>
      <c r="B5" s="22"/>
      <c r="C5" s="22"/>
      <c r="D5" s="23"/>
      <c r="E5" s="1"/>
      <c r="F5" s="21" t="s">
        <v>5</v>
      </c>
      <c r="G5" s="22"/>
      <c r="H5" s="22"/>
      <c r="I5" s="23"/>
      <c r="J5" s="1"/>
      <c r="K5" s="19">
        <f>SMALL('Vstupní data'!$B$5:$B$16,ROWS($K$3:K5))</f>
        <v>52</v>
      </c>
      <c r="L5" s="19">
        <f>SUMIF('Vstupní data'!$B$5:$B$16,K5,'Vstupní data'!$C$5:$C$16)</f>
        <v>864</v>
      </c>
      <c r="M5" s="19">
        <f t="shared" si="0"/>
        <v>866.44885643594239</v>
      </c>
    </row>
    <row r="6" spans="1:13" ht="2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9">
        <f>SMALL('Vstupní data'!$B$5:$B$16,ROWS($K$3:K6))</f>
        <v>55</v>
      </c>
      <c r="L6" s="19">
        <f>SUMIF('Vstupní data'!$B$5:$B$16,K6,'Vstupní data'!$C$5:$C$16)</f>
        <v>886</v>
      </c>
      <c r="M6" s="19">
        <f t="shared" si="0"/>
        <v>890.46514996077485</v>
      </c>
    </row>
    <row r="7" spans="1:13" ht="24" customHeight="1">
      <c r="A7" s="5" t="s">
        <v>6</v>
      </c>
      <c r="B7" s="13">
        <f>MIN('Vstupní data'!B5:B16)</f>
        <v>42</v>
      </c>
      <c r="C7" s="4" t="s">
        <v>7</v>
      </c>
      <c r="D7" s="4" t="s">
        <v>8</v>
      </c>
      <c r="E7" s="1"/>
      <c r="F7" s="5" t="s">
        <v>9</v>
      </c>
      <c r="G7" s="15">
        <f>AVERAGE('Vstupní data'!C5:C16)-G8*AVERAGE('Vstupní data'!B5:B16)</f>
        <v>450.16643533884502</v>
      </c>
      <c r="H7" s="4" t="s">
        <v>10</v>
      </c>
      <c r="I7" s="4" t="s">
        <v>11</v>
      </c>
      <c r="J7" s="1"/>
      <c r="K7" s="19">
        <f>SMALL('Vstupní data'!$B$5:$B$16,ROWS($K$3:K7))</f>
        <v>58</v>
      </c>
      <c r="L7" s="19">
        <f>SUMIF('Vstupní data'!$B$5:$B$16,K7,'Vstupní data'!$C$5:$C$16)</f>
        <v>916</v>
      </c>
      <c r="M7" s="19">
        <f t="shared" si="0"/>
        <v>914.48144348560743</v>
      </c>
    </row>
    <row r="8" spans="1:13" ht="24" customHeight="1">
      <c r="A8" s="5" t="s">
        <v>12</v>
      </c>
      <c r="B8" s="13">
        <f>SUMIF('Vstupní data'!B5:B16,B7,'Vstupní data'!C5:C16)</f>
        <v>786</v>
      </c>
      <c r="C8" s="4" t="s">
        <v>13</v>
      </c>
      <c r="D8" s="4" t="s">
        <v>14</v>
      </c>
      <c r="E8" s="1"/>
      <c r="F8" s="5" t="s">
        <v>15</v>
      </c>
      <c r="G8" s="15">
        <f>(COUNT('Vstupní data'!B5:B16)*SUMPRODUCT('Vstupní data'!B5:B16,'Vstupní data'!C5:C16)-SUM('Vstupní data'!B5:B16)*SUM('Vstupní data'!C5:C16))/(COUNT('Vstupní data'!B5:B16)*SUMPRODUCT('Vstupní data'!B5:B16,'Vstupní data'!B5:B16)-SUM('Vstupní data'!B5:B16)^2)</f>
        <v>8.0054311749441798</v>
      </c>
      <c r="H8" s="4" t="s">
        <v>16</v>
      </c>
      <c r="I8" s="4" t="s">
        <v>17</v>
      </c>
      <c r="J8" s="1"/>
      <c r="K8" s="19">
        <f>SMALL('Vstupní data'!$B$5:$B$16,ROWS($K$3:K8))</f>
        <v>60</v>
      </c>
      <c r="L8" s="19">
        <f>SUMIF('Vstupní data'!$B$5:$B$16,K8,'Vstupní data'!$C$5:$C$16)</f>
        <v>932</v>
      </c>
      <c r="M8" s="19">
        <f t="shared" si="0"/>
        <v>930.49230583549581</v>
      </c>
    </row>
    <row r="9" spans="1:13" ht="24" customHeight="1">
      <c r="A9" s="5" t="s">
        <v>18</v>
      </c>
      <c r="B9" s="13">
        <f>MAX('Vstupní data'!B5:B16)</f>
        <v>80</v>
      </c>
      <c r="C9" s="4" t="s">
        <v>7</v>
      </c>
      <c r="D9" s="4" t="s">
        <v>19</v>
      </c>
      <c r="E9" s="1"/>
      <c r="F9" s="5" t="s">
        <v>20</v>
      </c>
      <c r="G9" s="16">
        <f>(COUNT('Vstupní data'!B5:B16)*SUMPRODUCT('Vstupní data'!B5:B16,'Vstupní data'!C5:C16)-SUM('Vstupní data'!B5:B16)*SUM('Vstupní data'!C5:C16))/SQRT((COUNT('Vstupní data'!B5:B16)*SUMPRODUCT('Vstupní data'!B5:B16,'Vstupní data'!B5:B16)-SUM('Vstupní data'!B5:B16)^2)*(COUNT('Vstupní data'!C5:C16)*SUMPRODUCT('Vstupní data'!C5:C16,'Vstupní data'!C5:C16)-SUM('Vstupní data'!C5:C16)^2))</f>
        <v>0.99958804943027568</v>
      </c>
      <c r="H9" s="4"/>
      <c r="I9" s="4" t="s">
        <v>21</v>
      </c>
      <c r="J9" s="1"/>
      <c r="K9" s="19">
        <f>SMALL('Vstupní data'!$B$5:$B$16,ROWS($K$3:K9))</f>
        <v>62</v>
      </c>
      <c r="L9" s="19">
        <f>SUMIF('Vstupní data'!$B$5:$B$16,K9,'Vstupní data'!$C$5:$C$16)</f>
        <v>950</v>
      </c>
      <c r="M9" s="19">
        <f t="shared" si="0"/>
        <v>946.50316818538408</v>
      </c>
    </row>
    <row r="10" spans="1:13" ht="24" customHeight="1">
      <c r="A10" s="5" t="s">
        <v>22</v>
      </c>
      <c r="B10" s="13">
        <f>SUMIF('Vstupní data'!B5:B16,B9,'Vstupní data'!C5:C16)</f>
        <v>1090</v>
      </c>
      <c r="C10" s="4" t="s">
        <v>13</v>
      </c>
      <c r="D10" s="4" t="s">
        <v>14</v>
      </c>
      <c r="E10" s="1"/>
      <c r="F10" s="5" t="s">
        <v>23</v>
      </c>
      <c r="G10" s="16">
        <f>G9^2</f>
        <v>0.99917626856382324</v>
      </c>
      <c r="H10" s="4"/>
      <c r="I10" s="4" t="s">
        <v>24</v>
      </c>
      <c r="J10" s="1"/>
      <c r="K10" s="19">
        <f>SMALL('Vstupní data'!$B$5:$B$16,ROWS($K$3:K10))</f>
        <v>66</v>
      </c>
      <c r="L10" s="19">
        <f>SUMIF('Vstupní data'!$B$5:$B$16,K10,'Vstupní data'!$C$5:$C$16)</f>
        <v>976</v>
      </c>
      <c r="M10" s="19">
        <f t="shared" si="0"/>
        <v>978.52489288516085</v>
      </c>
    </row>
    <row r="11" spans="1:13" ht="24" customHeight="1">
      <c r="A11" s="5"/>
      <c r="B11" s="6"/>
      <c r="C11" s="4"/>
      <c r="D11" s="4"/>
      <c r="E11" s="1"/>
      <c r="F11" s="1"/>
      <c r="G11" s="1"/>
      <c r="H11" s="1"/>
      <c r="I11" s="1"/>
      <c r="J11" s="1"/>
      <c r="K11" s="19">
        <f>SMALL('Vstupní data'!$B$5:$B$16,ROWS($K$3:K11))</f>
        <v>68</v>
      </c>
      <c r="L11" s="19">
        <f>SUMIF('Vstupní data'!$B$5:$B$16,K11,'Vstupní data'!$C$5:$C$16)</f>
        <v>992</v>
      </c>
      <c r="M11" s="19">
        <f t="shared" si="0"/>
        <v>994.53575523504924</v>
      </c>
    </row>
    <row r="12" spans="1:13" ht="24" customHeight="1">
      <c r="A12" s="5" t="s">
        <v>15</v>
      </c>
      <c r="B12" s="14">
        <f>(B10-B8)/(B9-B7)</f>
        <v>8</v>
      </c>
      <c r="C12" s="4" t="s">
        <v>16</v>
      </c>
      <c r="D12" s="4" t="s">
        <v>25</v>
      </c>
      <c r="E12" s="1"/>
      <c r="F12" s="17" t="s">
        <v>26</v>
      </c>
      <c r="G12" s="18">
        <f>G7</f>
        <v>450.16643533884502</v>
      </c>
      <c r="H12" s="18" t="s">
        <v>27</v>
      </c>
      <c r="I12" s="18">
        <f>G8</f>
        <v>8.0054311749441798</v>
      </c>
      <c r="J12" s="17" t="s">
        <v>28</v>
      </c>
      <c r="K12" s="19">
        <f>SMALL('Vstupní data'!$B$5:$B$16,ROWS($K$3:K12))</f>
        <v>72</v>
      </c>
      <c r="L12" s="19">
        <f>SUMIF('Vstupní data'!$B$5:$B$16,K12,'Vstupní data'!$C$5:$C$16)</f>
        <v>1028</v>
      </c>
      <c r="M12" s="19">
        <f t="shared" si="0"/>
        <v>1026.557479934826</v>
      </c>
    </row>
    <row r="13" spans="1:13" ht="24" customHeight="1">
      <c r="A13" s="5" t="s">
        <v>9</v>
      </c>
      <c r="B13" s="14">
        <f>B10-B12*B9</f>
        <v>450</v>
      </c>
      <c r="C13" s="4" t="s">
        <v>10</v>
      </c>
      <c r="D13" s="4" t="s">
        <v>29</v>
      </c>
      <c r="E13" s="1"/>
      <c r="F13" s="1"/>
      <c r="G13" s="1"/>
      <c r="H13" s="1"/>
      <c r="I13" s="1"/>
      <c r="J13" s="1"/>
      <c r="K13" s="19">
        <f>SMALL('Vstupní data'!$B$5:$B$16,ROWS($K$3:K13))</f>
        <v>74</v>
      </c>
      <c r="L13" s="19">
        <f>SUMIF('Vstupní data'!$B$5:$B$16,K13,'Vstupní data'!$C$5:$C$16)</f>
        <v>1044</v>
      </c>
      <c r="M13" s="19">
        <f t="shared" si="0"/>
        <v>1042.5683422847144</v>
      </c>
    </row>
    <row r="14" spans="1:13" ht="24" customHeight="1">
      <c r="A14" s="1"/>
      <c r="B14" s="1"/>
      <c r="C14" s="1"/>
      <c r="D14" s="1"/>
      <c r="E14" s="1"/>
      <c r="F14" s="24" t="s">
        <v>30</v>
      </c>
      <c r="G14" s="24"/>
      <c r="H14" s="24"/>
      <c r="I14" s="24"/>
      <c r="J14" s="1"/>
      <c r="K14" s="19">
        <f>SMALL('Vstupní data'!$B$5:$B$16,ROWS($K$3:K14))</f>
        <v>80</v>
      </c>
      <c r="L14" s="19">
        <f>SUMIF('Vstupní data'!$B$5:$B$16,K14,'Vstupní data'!$C$5:$C$16)</f>
        <v>1090</v>
      </c>
      <c r="M14" s="19">
        <f t="shared" si="0"/>
        <v>1090.6009293343793</v>
      </c>
    </row>
    <row r="15" spans="1:13" ht="24" customHeight="1">
      <c r="A15" s="17" t="s">
        <v>26</v>
      </c>
      <c r="B15" s="18">
        <f>B13</f>
        <v>450</v>
      </c>
      <c r="C15" s="18" t="s">
        <v>27</v>
      </c>
      <c r="D15" s="18">
        <f>B12</f>
        <v>8</v>
      </c>
      <c r="E15" s="17" t="s">
        <v>28</v>
      </c>
      <c r="F15" s="1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34.049999999999997" customHeight="1">
      <c r="A17" s="25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1"/>
      <c r="L17" s="1"/>
      <c r="M17" s="1"/>
    </row>
    <row r="18" spans="1:1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26" t="s">
        <v>32</v>
      </c>
      <c r="B40" s="26"/>
      <c r="C40" s="26"/>
      <c r="D40" s="26"/>
      <c r="E40" s="26"/>
      <c r="F40" s="26"/>
      <c r="G40" s="26"/>
      <c r="H40" s="26"/>
      <c r="I40" s="26"/>
      <c r="J40" s="26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</sheetData>
  <mergeCells count="6">
    <mergeCell ref="A40:J40"/>
    <mergeCell ref="A2:I2"/>
    <mergeCell ref="A5:D5"/>
    <mergeCell ref="F5:I5"/>
    <mergeCell ref="F14:I14"/>
    <mergeCell ref="A17:J17"/>
  </mergeCells>
  <pageMargins left="0.7" right="0.7" top="0.75" bottom="0.75" header="0.3" footer="0.3"/>
  <ignoredErrors>
    <ignoredError sqref="B9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54F73"/>
  </sheetPr>
  <dimension ref="A1:M60"/>
  <sheetViews>
    <sheetView showGridLines="0" workbookViewId="0">
      <pane ySplit="4" topLeftCell="A5" activePane="bottomLeft" state="frozen"/>
      <selection pane="bottomLeft" activeCell="F5" sqref="F5"/>
    </sheetView>
  </sheetViews>
  <sheetFormatPr defaultRowHeight="13.8"/>
  <cols>
    <col min="1" max="1" width="17" customWidth="1"/>
    <col min="2" max="3" width="20" customWidth="1"/>
    <col min="4" max="5" width="19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1.6">
      <c r="A2" s="27" t="s">
        <v>33</v>
      </c>
      <c r="B2" s="27"/>
      <c r="C2" s="27"/>
      <c r="D2" s="27"/>
      <c r="E2" s="27"/>
      <c r="F2" s="1"/>
      <c r="G2" s="1"/>
      <c r="H2" s="1"/>
      <c r="I2" s="1"/>
      <c r="J2" s="1"/>
      <c r="K2" s="1"/>
      <c r="L2" s="1"/>
      <c r="M2" s="1"/>
    </row>
    <row r="3" spans="1:13" ht="4.95" customHeight="1">
      <c r="A3" s="2"/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</row>
    <row r="4" spans="1:13" ht="34.049999999999997" customHeight="1">
      <c r="A4" s="3" t="s">
        <v>34</v>
      </c>
      <c r="B4" s="3" t="s">
        <v>35</v>
      </c>
      <c r="C4" s="3" t="s">
        <v>36</v>
      </c>
      <c r="D4" s="3" t="s">
        <v>37</v>
      </c>
      <c r="E4" s="3" t="s">
        <v>38</v>
      </c>
      <c r="F4" s="1"/>
      <c r="G4" s="1"/>
      <c r="H4" s="1"/>
      <c r="I4" s="1"/>
      <c r="J4" s="1"/>
      <c r="K4" s="1"/>
      <c r="L4" s="1"/>
      <c r="M4" s="1"/>
    </row>
    <row r="5" spans="1:13" ht="22.05" customHeight="1">
      <c r="A5" s="7" t="s">
        <v>39</v>
      </c>
      <c r="B5" s="8">
        <v>42</v>
      </c>
      <c r="C5" s="8">
        <v>786</v>
      </c>
      <c r="D5" s="9">
        <f>Výpočty!$G$7+Výpočty!$G$8*B5</f>
        <v>786.39454468650058</v>
      </c>
      <c r="E5" s="9">
        <f t="shared" ref="E5:E16" si="0">C5-D5</f>
        <v>-0.39454468650058061</v>
      </c>
      <c r="F5" s="1"/>
      <c r="G5" s="1"/>
      <c r="H5" s="1"/>
      <c r="I5" s="1"/>
      <c r="J5" s="1"/>
      <c r="K5" s="1"/>
      <c r="L5" s="1"/>
      <c r="M5" s="1"/>
    </row>
    <row r="6" spans="1:13" ht="22.05" customHeight="1">
      <c r="A6" s="7" t="s">
        <v>40</v>
      </c>
      <c r="B6" s="8">
        <v>48</v>
      </c>
      <c r="C6" s="8">
        <v>838</v>
      </c>
      <c r="D6" s="9">
        <f>Výpočty!$G$7+Výpočty!$G$8*B6</f>
        <v>834.42713173616562</v>
      </c>
      <c r="E6" s="9">
        <f t="shared" si="0"/>
        <v>3.5728682638343798</v>
      </c>
      <c r="F6" s="1"/>
      <c r="G6" s="1"/>
      <c r="H6" s="1"/>
      <c r="I6" s="1"/>
      <c r="J6" s="1"/>
      <c r="K6" s="1"/>
      <c r="L6" s="1"/>
      <c r="M6" s="1"/>
    </row>
    <row r="7" spans="1:13" ht="22.05" customHeight="1">
      <c r="A7" s="7" t="s">
        <v>41</v>
      </c>
      <c r="B7" s="8">
        <v>55</v>
      </c>
      <c r="C7" s="8">
        <v>886</v>
      </c>
      <c r="D7" s="9">
        <f>Výpočty!$G$7+Výpočty!$G$8*B7</f>
        <v>890.46514996077485</v>
      </c>
      <c r="E7" s="9">
        <f t="shared" si="0"/>
        <v>-4.4651499607748519</v>
      </c>
      <c r="F7" s="1"/>
      <c r="G7" s="1"/>
      <c r="H7" s="1"/>
      <c r="I7" s="1"/>
      <c r="J7" s="1"/>
      <c r="K7" s="1"/>
      <c r="L7" s="1"/>
      <c r="M7" s="1"/>
    </row>
    <row r="8" spans="1:13" ht="22.05" customHeight="1">
      <c r="A8" s="7" t="s">
        <v>42</v>
      </c>
      <c r="B8" s="8">
        <v>62</v>
      </c>
      <c r="C8" s="8">
        <v>950</v>
      </c>
      <c r="D8" s="9">
        <f>Výpočty!$G$7+Výpočty!$G$8*B8</f>
        <v>946.50316818538408</v>
      </c>
      <c r="E8" s="9">
        <f t="shared" si="0"/>
        <v>3.4968318146159163</v>
      </c>
      <c r="F8" s="1"/>
      <c r="G8" s="1"/>
      <c r="H8" s="1"/>
      <c r="I8" s="1"/>
      <c r="J8" s="1"/>
      <c r="K8" s="1"/>
      <c r="L8" s="1"/>
      <c r="M8" s="1"/>
    </row>
    <row r="9" spans="1:13" ht="22.05" customHeight="1">
      <c r="A9" s="7" t="s">
        <v>43</v>
      </c>
      <c r="B9" s="8">
        <v>68</v>
      </c>
      <c r="C9" s="8">
        <v>992</v>
      </c>
      <c r="D9" s="9">
        <f>Výpočty!$G$7+Výpočty!$G$8*B9</f>
        <v>994.53575523504924</v>
      </c>
      <c r="E9" s="9">
        <f t="shared" si="0"/>
        <v>-2.5357552350492369</v>
      </c>
      <c r="F9" s="1"/>
      <c r="G9" s="1"/>
      <c r="H9" s="1"/>
      <c r="I9" s="1"/>
      <c r="J9" s="1"/>
      <c r="K9" s="1"/>
      <c r="L9" s="1"/>
      <c r="M9" s="1"/>
    </row>
    <row r="10" spans="1:13" ht="22.05" customHeight="1">
      <c r="A10" s="7" t="s">
        <v>44</v>
      </c>
      <c r="B10" s="8">
        <v>72</v>
      </c>
      <c r="C10" s="8">
        <v>1028</v>
      </c>
      <c r="D10" s="9">
        <f>Výpočty!$G$7+Výpočty!$G$8*B10</f>
        <v>1026.557479934826</v>
      </c>
      <c r="E10" s="9">
        <f t="shared" si="0"/>
        <v>1.4425200651739942</v>
      </c>
      <c r="F10" s="1"/>
      <c r="G10" s="1"/>
      <c r="H10" s="1"/>
      <c r="I10" s="1"/>
      <c r="J10" s="1"/>
      <c r="K10" s="1"/>
      <c r="L10" s="1"/>
      <c r="M10" s="1"/>
    </row>
    <row r="11" spans="1:13" ht="22.05" customHeight="1">
      <c r="A11" s="7" t="s">
        <v>45</v>
      </c>
      <c r="B11" s="8">
        <v>60</v>
      </c>
      <c r="C11" s="8">
        <v>932</v>
      </c>
      <c r="D11" s="9">
        <f>Výpočty!$G$7+Výpočty!$G$8*B11</f>
        <v>930.49230583549581</v>
      </c>
      <c r="E11" s="9">
        <f t="shared" si="0"/>
        <v>1.507694164504187</v>
      </c>
      <c r="F11" s="1"/>
      <c r="G11" s="1"/>
      <c r="H11" s="1"/>
      <c r="I11" s="1"/>
      <c r="J11" s="1"/>
      <c r="K11" s="1"/>
      <c r="L11" s="1"/>
      <c r="M11" s="1"/>
    </row>
    <row r="12" spans="1:13" ht="22.05" customHeight="1">
      <c r="A12" s="7" t="s">
        <v>46</v>
      </c>
      <c r="B12" s="8">
        <v>52</v>
      </c>
      <c r="C12" s="8">
        <v>864</v>
      </c>
      <c r="D12" s="9">
        <f>Výpočty!$G$7+Výpočty!$G$8*B12</f>
        <v>866.44885643594239</v>
      </c>
      <c r="E12" s="9">
        <f t="shared" si="0"/>
        <v>-2.448856435942389</v>
      </c>
      <c r="F12" s="1"/>
      <c r="G12" s="1"/>
      <c r="H12" s="1"/>
      <c r="I12" s="1"/>
      <c r="J12" s="1"/>
      <c r="K12" s="1"/>
      <c r="L12" s="1"/>
      <c r="M12" s="1"/>
    </row>
    <row r="13" spans="1:13" ht="22.05" customHeight="1">
      <c r="A13" s="7" t="s">
        <v>47</v>
      </c>
      <c r="B13" s="8">
        <v>58</v>
      </c>
      <c r="C13" s="8">
        <v>916</v>
      </c>
      <c r="D13" s="9">
        <f>Výpočty!$G$7+Výpočty!$G$8*B13</f>
        <v>914.48144348560743</v>
      </c>
      <c r="E13" s="9">
        <f t="shared" si="0"/>
        <v>1.5185565143925714</v>
      </c>
      <c r="F13" s="1"/>
      <c r="G13" s="1"/>
      <c r="H13" s="1"/>
      <c r="I13" s="1"/>
      <c r="J13" s="1"/>
      <c r="K13" s="1"/>
      <c r="L13" s="1"/>
      <c r="M13" s="1"/>
    </row>
    <row r="14" spans="1:13" ht="22.05" customHeight="1">
      <c r="A14" s="7" t="s">
        <v>48</v>
      </c>
      <c r="B14" s="8">
        <v>66</v>
      </c>
      <c r="C14" s="8">
        <v>976</v>
      </c>
      <c r="D14" s="9">
        <f>Výpočty!$G$7+Výpočty!$G$8*B14</f>
        <v>978.52489288516085</v>
      </c>
      <c r="E14" s="9">
        <f t="shared" si="0"/>
        <v>-2.5248928851608525</v>
      </c>
      <c r="F14" s="1"/>
      <c r="G14" s="1"/>
      <c r="H14" s="1"/>
      <c r="I14" s="1"/>
      <c r="J14" s="1"/>
      <c r="K14" s="1"/>
      <c r="L14" s="1"/>
      <c r="M14" s="1"/>
    </row>
    <row r="15" spans="1:13" ht="22.05" customHeight="1">
      <c r="A15" s="7" t="s">
        <v>49</v>
      </c>
      <c r="B15" s="8">
        <v>74</v>
      </c>
      <c r="C15" s="8">
        <v>1044</v>
      </c>
      <c r="D15" s="9">
        <f>Výpočty!$G$7+Výpočty!$G$8*B15</f>
        <v>1042.5683422847144</v>
      </c>
      <c r="E15" s="9">
        <f t="shared" si="0"/>
        <v>1.4316577152856098</v>
      </c>
      <c r="F15" s="1"/>
      <c r="G15" s="1"/>
      <c r="H15" s="1"/>
      <c r="I15" s="1"/>
      <c r="J15" s="1"/>
      <c r="K15" s="1"/>
      <c r="L15" s="1"/>
      <c r="M15" s="1"/>
    </row>
    <row r="16" spans="1:13" ht="22.05" customHeight="1">
      <c r="A16" s="7" t="s">
        <v>50</v>
      </c>
      <c r="B16" s="8">
        <v>80</v>
      </c>
      <c r="C16" s="8">
        <v>1090</v>
      </c>
      <c r="D16" s="9">
        <f>Výpočty!$G$7+Výpočty!$G$8*B16</f>
        <v>1090.6009293343793</v>
      </c>
      <c r="E16" s="9">
        <f t="shared" si="0"/>
        <v>-0.60092933437931606</v>
      </c>
      <c r="F16" s="1"/>
      <c r="G16" s="1"/>
      <c r="H16" s="1"/>
      <c r="I16" s="1"/>
      <c r="J16" s="1"/>
      <c r="K16" s="1"/>
      <c r="L16" s="1"/>
      <c r="M16" s="1"/>
    </row>
    <row r="17" spans="1:13" ht="22.05" customHeight="1">
      <c r="A17" s="10" t="s">
        <v>51</v>
      </c>
      <c r="B17" s="11">
        <f>SUM(B5:B16)</f>
        <v>737</v>
      </c>
      <c r="C17" s="11">
        <f>SUM(C5:C16)</f>
        <v>11302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2.05" customHeight="1">
      <c r="A18" s="10" t="s">
        <v>52</v>
      </c>
      <c r="B18" s="12">
        <f>AVERAGE(B5:B16)</f>
        <v>61.416666666666664</v>
      </c>
      <c r="C18" s="12">
        <f>AVERAGE(C5:C16)</f>
        <v>941.83333333333337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28" t="s">
        <v>53</v>
      </c>
      <c r="B20" s="28"/>
      <c r="C20" s="28"/>
      <c r="D20" s="28"/>
      <c r="E20" s="28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29" t="s">
        <v>54</v>
      </c>
      <c r="B22" s="29"/>
      <c r="C22" s="29"/>
      <c r="D22" s="29"/>
      <c r="E22" s="29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</sheetData>
  <mergeCells count="3">
    <mergeCell ref="A2:E2"/>
    <mergeCell ref="A20:E20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Výpočty</vt:lpstr>
      <vt:lpstr>Vstupní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Škrabal</dc:creator>
  <cp:lastModifiedBy>Jaroslav Škrabal</cp:lastModifiedBy>
  <dcterms:created xsi:type="dcterms:W3CDTF">2026-09-13T09:12:49Z</dcterms:created>
  <dcterms:modified xsi:type="dcterms:W3CDTF">2026-09-13T09:12:49Z</dcterms:modified>
</cp:coreProperties>
</file>