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iis.loc\shares\mvso\users\mensikm\Dokumenty\MVSO\Vyuka\"/>
    </mc:Choice>
  </mc:AlternateContent>
  <xr:revisionPtr revIDLastSave="0" documentId="8_{829ACD3C-96E9-498C-9C8F-33A7D8720176}" xr6:coauthVersionLast="31" xr6:coauthVersionMax="31" xr10:uidLastSave="{00000000-0000-0000-0000-000000000000}"/>
  <bookViews>
    <workbookView xWindow="0" yWindow="0" windowWidth="14380" windowHeight="4110" activeTab="5" xr2:uid="{D202E92B-B291-400F-B3E0-F8E15E046F37}"/>
  </bookViews>
  <sheets>
    <sheet name="Pojeti_nakladu_I" sheetId="1" r:id="rId1"/>
    <sheet name="Pojeti_nakladu_II" sheetId="2" r:id="rId2"/>
    <sheet name="CPK" sheetId="3" r:id="rId3"/>
    <sheet name="CVP" sheetId="4" r:id="rId4"/>
    <sheet name="CVP_hodnotově" sheetId="5" r:id="rId5"/>
    <sheet name="Regrese" sheetId="6" r:id="rId6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6" i="6" l="1"/>
  <c r="M7" i="6"/>
  <c r="M8" i="6"/>
  <c r="M9" i="6"/>
  <c r="M10" i="6"/>
  <c r="M11" i="6"/>
  <c r="M12" i="6"/>
  <c r="M13" i="6"/>
  <c r="M14" i="6"/>
  <c r="M15" i="6"/>
  <c r="M16" i="6"/>
  <c r="M17" i="6"/>
  <c r="M18" i="6"/>
  <c r="M19" i="6"/>
  <c r="M5" i="6"/>
  <c r="J6" i="6"/>
  <c r="J7" i="6"/>
  <c r="J8" i="6"/>
  <c r="J9" i="6"/>
  <c r="J10" i="6"/>
  <c r="J11" i="6"/>
  <c r="J12" i="6"/>
  <c r="J13" i="6"/>
  <c r="J14" i="6"/>
  <c r="J15" i="6"/>
  <c r="J16" i="6"/>
  <c r="J17" i="6"/>
  <c r="J18" i="6"/>
  <c r="J19" i="6"/>
  <c r="J5" i="6"/>
  <c r="F6" i="6"/>
  <c r="F7" i="6"/>
  <c r="F8" i="6"/>
  <c r="F9" i="6"/>
  <c r="F10" i="6"/>
  <c r="F11" i="6"/>
  <c r="F12" i="6"/>
  <c r="F13" i="6"/>
  <c r="F14" i="6"/>
  <c r="F15" i="6"/>
  <c r="F16" i="6"/>
  <c r="F17" i="6"/>
  <c r="F18" i="6"/>
  <c r="F19" i="6"/>
  <c r="F5" i="6"/>
  <c r="D9" i="4"/>
  <c r="D3" i="4"/>
  <c r="D2" i="4"/>
  <c r="H28" i="5"/>
  <c r="H27" i="5"/>
  <c r="H26" i="5"/>
  <c r="H23" i="5"/>
  <c r="H22" i="5"/>
  <c r="H21" i="5"/>
  <c r="H18" i="5"/>
  <c r="H17" i="5"/>
  <c r="H16" i="5"/>
  <c r="H13" i="5"/>
  <c r="H12" i="5"/>
  <c r="H10" i="5"/>
  <c r="J6" i="5"/>
  <c r="I6" i="5"/>
  <c r="H6" i="5"/>
  <c r="L5" i="5"/>
  <c r="K5" i="5"/>
  <c r="I5" i="5"/>
  <c r="J5" i="5"/>
  <c r="H5" i="5"/>
  <c r="H3" i="5"/>
  <c r="J3" i="5" s="1"/>
  <c r="I3" i="5"/>
  <c r="H4" i="5"/>
  <c r="I4" i="5"/>
  <c r="J4" i="5"/>
  <c r="J2" i="5"/>
  <c r="I2" i="5"/>
  <c r="H2" i="5"/>
  <c r="F24" i="4"/>
  <c r="F23" i="4"/>
  <c r="F22" i="4"/>
  <c r="F19" i="4"/>
  <c r="F18" i="4"/>
  <c r="F17" i="4"/>
  <c r="P7" i="4"/>
  <c r="F14" i="4"/>
  <c r="F13" i="4"/>
  <c r="F12" i="4"/>
  <c r="F8" i="4"/>
  <c r="F9" i="4"/>
  <c r="F7" i="4"/>
  <c r="C9" i="4"/>
  <c r="C6" i="4"/>
  <c r="C12" i="3"/>
  <c r="C13" i="3"/>
  <c r="D13" i="3"/>
  <c r="E13" i="3"/>
  <c r="D12" i="3"/>
  <c r="E12" i="3"/>
  <c r="D10" i="3"/>
  <c r="E10" i="3"/>
  <c r="C10" i="3"/>
  <c r="J8" i="3"/>
  <c r="J6" i="3"/>
  <c r="J4" i="3"/>
  <c r="I8" i="3"/>
  <c r="I13" i="3" s="1"/>
  <c r="J13" i="3" s="1"/>
  <c r="H8" i="3"/>
  <c r="I6" i="3"/>
  <c r="H6" i="3"/>
  <c r="H13" i="3" s="1"/>
  <c r="I4" i="3"/>
  <c r="H4" i="3"/>
  <c r="D6" i="3"/>
  <c r="E6" i="3"/>
  <c r="C6" i="3"/>
  <c r="D7" i="2"/>
  <c r="C7" i="2"/>
  <c r="D5" i="2"/>
  <c r="C5" i="2"/>
  <c r="D41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23" i="1"/>
  <c r="G11" i="1"/>
  <c r="G10" i="1"/>
  <c r="C41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23" i="1"/>
  <c r="C13" i="1"/>
  <c r="C14" i="1"/>
  <c r="C15" i="1"/>
  <c r="C16" i="1"/>
  <c r="C17" i="1"/>
  <c r="C18" i="1"/>
  <c r="C19" i="1"/>
  <c r="C20" i="1"/>
  <c r="C21" i="1"/>
  <c r="C22" i="1"/>
  <c r="C12" i="1"/>
  <c r="C11" i="1"/>
  <c r="I7" i="1"/>
  <c r="H7" i="1"/>
  <c r="G7" i="1"/>
  <c r="F7" i="1"/>
  <c r="I5" i="1"/>
  <c r="H5" i="1"/>
  <c r="G5" i="1"/>
  <c r="I3" i="1"/>
  <c r="G3" i="1"/>
  <c r="H3" i="1" s="1"/>
</calcChain>
</file>

<file path=xl/sharedStrings.xml><?xml version="1.0" encoding="utf-8"?>
<sst xmlns="http://schemas.openxmlformats.org/spreadsheetml/2006/main" count="138" uniqueCount="76">
  <si>
    <t>Byt 3+1</t>
  </si>
  <si>
    <t>Nájem</t>
  </si>
  <si>
    <t>V</t>
  </si>
  <si>
    <t>N</t>
  </si>
  <si>
    <t>Historická cena</t>
  </si>
  <si>
    <t>Životnost v letech</t>
  </si>
  <si>
    <t>HV</t>
  </si>
  <si>
    <t>HV / měs</t>
  </si>
  <si>
    <t>HV  / ročně</t>
  </si>
  <si>
    <t>Reprodukční cena</t>
  </si>
  <si>
    <t>Odpis z hist. Ceny</t>
  </si>
  <si>
    <t>Odpis z reprod. Ceny</t>
  </si>
  <si>
    <t>Odpis pro reprodukci aktiva</t>
  </si>
  <si>
    <t>Pobočka</t>
  </si>
  <si>
    <t>Olomouc</t>
  </si>
  <si>
    <t>Brno</t>
  </si>
  <si>
    <t>Výnosy</t>
  </si>
  <si>
    <t>Náklady</t>
  </si>
  <si>
    <t>Kalkulační nájemné</t>
  </si>
  <si>
    <t>Ekonomický zisk</t>
  </si>
  <si>
    <t>Praha</t>
  </si>
  <si>
    <t>KA</t>
  </si>
  <si>
    <t>KZ</t>
  </si>
  <si>
    <t>Rozvaha firmy</t>
  </si>
  <si>
    <t>ROE</t>
  </si>
  <si>
    <t>Kalkulační úrok</t>
  </si>
  <si>
    <t>PK</t>
  </si>
  <si>
    <t>Cj</t>
  </si>
  <si>
    <t>Párek</t>
  </si>
  <si>
    <t>Vj</t>
  </si>
  <si>
    <t>FN</t>
  </si>
  <si>
    <t>Qbep</t>
  </si>
  <si>
    <t>Pož. Zisk</t>
  </si>
  <si>
    <t>Qzisk</t>
  </si>
  <si>
    <t>Min. Zisk</t>
  </si>
  <si>
    <t>Analýza citlivosti</t>
  </si>
  <si>
    <t>Výchozí zisk</t>
  </si>
  <si>
    <t>Minimální zisk</t>
  </si>
  <si>
    <t>=</t>
  </si>
  <si>
    <t>-</t>
  </si>
  <si>
    <t>Q</t>
  </si>
  <si>
    <t>Z0</t>
  </si>
  <si>
    <t>Cx</t>
  </si>
  <si>
    <t>)*</t>
  </si>
  <si>
    <t>(</t>
  </si>
  <si>
    <t>Relativně</t>
  </si>
  <si>
    <t>Změna</t>
  </si>
  <si>
    <t>Vx</t>
  </si>
  <si>
    <t>Qx</t>
  </si>
  <si>
    <t>FNx</t>
  </si>
  <si>
    <t>Hot dog</t>
  </si>
  <si>
    <t>Cola</t>
  </si>
  <si>
    <t>Salát</t>
  </si>
  <si>
    <t>F</t>
  </si>
  <si>
    <t>T</t>
  </si>
  <si>
    <t>VN</t>
  </si>
  <si>
    <t>M</t>
  </si>
  <si>
    <t>Celkem</t>
  </si>
  <si>
    <t>Zisk</t>
  </si>
  <si>
    <t>Min zisk</t>
  </si>
  <si>
    <t>(1-0,64285714)*280000-50000</t>
  </si>
  <si>
    <t>(Cx - 0,64285714)*280000-50000</t>
  </si>
  <si>
    <t>(1 - Vx)*280000-50000</t>
  </si>
  <si>
    <t>Cc</t>
  </si>
  <si>
    <t>Nové Vj na 1 Kč tržeb</t>
  </si>
  <si>
    <t>Změna Vj na 1 Kč tržeb</t>
  </si>
  <si>
    <t>Změna v procentech</t>
  </si>
  <si>
    <t>(1 - 0,64285714)*Tx-50000</t>
  </si>
  <si>
    <t>Absolutně</t>
  </si>
  <si>
    <t>(1 - 0,64285714)*280000-FNx</t>
  </si>
  <si>
    <t>Absolutní</t>
  </si>
  <si>
    <t>Vztaženo k tržbám</t>
  </si>
  <si>
    <t>VNj</t>
  </si>
  <si>
    <t>CN</t>
  </si>
  <si>
    <t>CN I</t>
  </si>
  <si>
    <t>CN 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</si>
</sst>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Kč&quot;_-;\-* #,##0.00\ &quot;Kč&quot;_-;_-* &quot;-&quot;??\ &quot;Kč&quot;_-;_-@_-"/>
    <numFmt numFmtId="166" formatCode="_-* #,##0\ &quot;Kč&quot;_-;\-* #,##0\ &quot;Kč&quot;_-;_-* &quot;-&quot;??\ &quot;Kč&quot;_-;_-@_-"/>
    <numFmt numFmtId="167" formatCode="#,##0.00_ ;\-#,##0.00\ "/>
  </numFmts>
  <fonts count="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5">
    <xf numFmtId="0" fontId="0" fillId="0" borderId="0" xfId="0"/>
    <xf numFmtId="44" fontId="0" fillId="0" borderId="0" xfId="1" applyFont="1"/>
    <xf numFmtId="166" fontId="0" fillId="0" borderId="0" xfId="1" applyNumberFormat="1" applyFont="1"/>
    <xf numFmtId="44" fontId="0" fillId="0" borderId="0" xfId="0" applyNumberFormat="1"/>
    <xf numFmtId="44" fontId="2" fillId="0" borderId="0" xfId="0" applyNumberFormat="1" applyFont="1"/>
    <xf numFmtId="166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3" xfId="0" applyBorder="1"/>
    <xf numFmtId="44" fontId="0" fillId="2" borderId="0" xfId="0" applyNumberFormat="1" applyFill="1"/>
    <xf numFmtId="0" fontId="0" fillId="2" borderId="0" xfId="0" applyFill="1"/>
    <xf numFmtId="0" fontId="0" fillId="0" borderId="4" xfId="0" applyBorder="1"/>
    <xf numFmtId="0" fontId="0" fillId="0" borderId="1" xfId="0" applyBorder="1" applyAlignment="1">
      <alignment horizontal="center"/>
    </xf>
    <xf numFmtId="166" fontId="0" fillId="0" borderId="3" xfId="0" applyNumberFormat="1" applyBorder="1"/>
    <xf numFmtId="9" fontId="0" fillId="0" borderId="0" xfId="0" applyNumberFormat="1"/>
    <xf numFmtId="166" fontId="0" fillId="0" borderId="2" xfId="1" applyNumberFormat="1" applyFont="1" applyBorder="1"/>
    <xf numFmtId="167" fontId="0" fillId="0" borderId="0" xfId="1" applyNumberFormat="1" applyFont="1"/>
    <xf numFmtId="167" fontId="0" fillId="0" borderId="0" xfId="0" applyNumberFormat="1"/>
    <xf numFmtId="0" fontId="0" fillId="0" borderId="0" xfId="0" applyAlignment="1">
      <alignment horizontal="right"/>
    </xf>
    <xf numFmtId="9" fontId="0" fillId="0" borderId="0" xfId="2" applyFont="1"/>
    <xf numFmtId="10" fontId="0" fillId="0" borderId="0" xfId="2" applyNumberFormat="1" applyFont="1"/>
    <xf numFmtId="2" fontId="0" fillId="0" borderId="0" xfId="0" applyNumberFormat="1"/>
    <xf numFmtId="10" fontId="0" fillId="2" borderId="0" xfId="0" applyNumberFormat="1" applyFill="1"/>
    <xf numFmtId="10" fontId="0" fillId="2" borderId="0" xfId="2" applyNumberFormat="1" applyFont="1" applyFill="1"/>
    <xf numFmtId="9" fontId="0" fillId="2" borderId="0" xfId="0" applyNumberFormat="1" applyFill="1"/>
  </cellXfs>
  <cellStyles count="3">
    <cellStyle name="Měna" xfId="1" builtinId="4"/>
    <cellStyle name="Normální" xfId="0" builtinId="0"/>
    <cellStyle name="Procenta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Regrese!$M$4</c:f>
              <c:strCache>
                <c:ptCount val="1"/>
                <c:pt idx="0">
                  <c:v>CN III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layout>
                <c:manualLayout>
                  <c:x val="0.11302449693788276"/>
                  <c:y val="-0.30650043744531935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4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cs-CZ"/>
                </a:p>
              </c:txPr>
            </c:trendlineLbl>
          </c:trendline>
          <c:xVal>
            <c:numRef>
              <c:f>Regrese!$E$5:$E$19</c:f>
              <c:numCache>
                <c:formatCode>General</c:formatCode>
                <c:ptCount val="15"/>
                <c:pt idx="0">
                  <c:v>0</c:v>
                </c:pt>
                <c:pt idx="1">
                  <c:v>500</c:v>
                </c:pt>
                <c:pt idx="2">
                  <c:v>1000</c:v>
                </c:pt>
                <c:pt idx="3">
                  <c:v>1500</c:v>
                </c:pt>
                <c:pt idx="4">
                  <c:v>2000</c:v>
                </c:pt>
                <c:pt idx="5">
                  <c:v>2500</c:v>
                </c:pt>
                <c:pt idx="6">
                  <c:v>3000</c:v>
                </c:pt>
                <c:pt idx="7">
                  <c:v>3500</c:v>
                </c:pt>
                <c:pt idx="8">
                  <c:v>4000</c:v>
                </c:pt>
                <c:pt idx="9">
                  <c:v>4500</c:v>
                </c:pt>
                <c:pt idx="10">
                  <c:v>5000</c:v>
                </c:pt>
                <c:pt idx="11">
                  <c:v>5500</c:v>
                </c:pt>
                <c:pt idx="12">
                  <c:v>6000</c:v>
                </c:pt>
                <c:pt idx="13">
                  <c:v>6500</c:v>
                </c:pt>
                <c:pt idx="14">
                  <c:v>7000</c:v>
                </c:pt>
              </c:numCache>
            </c:numRef>
          </c:xVal>
          <c:yVal>
            <c:numRef>
              <c:f>Regrese!$M$5:$M$19</c:f>
              <c:numCache>
                <c:formatCode>General</c:formatCode>
                <c:ptCount val="15"/>
                <c:pt idx="0">
                  <c:v>350000</c:v>
                </c:pt>
                <c:pt idx="1">
                  <c:v>85000</c:v>
                </c:pt>
                <c:pt idx="2">
                  <c:v>445000</c:v>
                </c:pt>
                <c:pt idx="3">
                  <c:v>163000</c:v>
                </c:pt>
                <c:pt idx="4">
                  <c:v>245000</c:v>
                </c:pt>
                <c:pt idx="5">
                  <c:v>253000</c:v>
                </c:pt>
                <c:pt idx="6">
                  <c:v>243000</c:v>
                </c:pt>
                <c:pt idx="7">
                  <c:v>404000</c:v>
                </c:pt>
                <c:pt idx="8">
                  <c:v>233000</c:v>
                </c:pt>
                <c:pt idx="9">
                  <c:v>337000</c:v>
                </c:pt>
                <c:pt idx="10">
                  <c:v>311000</c:v>
                </c:pt>
                <c:pt idx="11">
                  <c:v>471000</c:v>
                </c:pt>
                <c:pt idx="12">
                  <c:v>333000</c:v>
                </c:pt>
                <c:pt idx="13">
                  <c:v>413000</c:v>
                </c:pt>
                <c:pt idx="14">
                  <c:v>492000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0B0-4111-9176-B7F57BCD3A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0605352"/>
        <c:axId val="350603056"/>
      </c:scatterChart>
      <c:valAx>
        <c:axId val="3506053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350603056"/>
        <c:crosses val="autoZero"/>
        <c:crossBetween val="midCat"/>
      </c:valAx>
      <c:valAx>
        <c:axId val="3506030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35060535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206375</xdr:colOff>
      <xdr:row>0</xdr:row>
      <xdr:rowOff>0</xdr:rowOff>
    </xdr:from>
    <xdr:to>
      <xdr:col>19</xdr:col>
      <xdr:colOff>511175</xdr:colOff>
      <xdr:row>14</xdr:row>
      <xdr:rowOff>165100</xdr:rowOff>
    </xdr:to>
    <xdr:graphicFrame macro="">
      <xdr:nvGraphicFramePr>
        <xdr:cNvPr id="6" name="Graf 5">
          <a:extLst>
            <a:ext uri="{FF2B5EF4-FFF2-40B4-BE49-F238E27FC236}">
              <a16:creationId xmlns:a16="http://schemas.microsoft.com/office/drawing/2014/main" id="{9B5A46B0-13BB-4815-91CA-7E033748AAE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CE902A-7CCB-4B24-93FD-A9263C45F8DD}">
  <dimension ref="A2:I41"/>
  <sheetViews>
    <sheetView zoomScale="140" zoomScaleNormal="140" workbookViewId="0">
      <selection activeCell="C5" sqref="C5"/>
    </sheetView>
  </sheetViews>
  <sheetFormatPr defaultRowHeight="14.5" x14ac:dyDescent="0.35"/>
  <cols>
    <col min="3" max="3" width="15.81640625" bestFit="1" customWidth="1"/>
    <col min="4" max="4" width="15.36328125" bestFit="1" customWidth="1"/>
    <col min="5" max="5" width="6.1796875" bestFit="1" customWidth="1"/>
    <col min="6" max="6" width="12.26953125" bestFit="1" customWidth="1"/>
    <col min="7" max="7" width="13.6328125" bestFit="1" customWidth="1"/>
    <col min="8" max="8" width="11.26953125" bestFit="1" customWidth="1"/>
    <col min="9" max="9" width="12.54296875" bestFit="1" customWidth="1"/>
  </cols>
  <sheetData>
    <row r="2" spans="1:9" x14ac:dyDescent="0.35">
      <c r="C2" t="s">
        <v>4</v>
      </c>
      <c r="D2" t="s">
        <v>5</v>
      </c>
      <c r="F2" t="s">
        <v>2</v>
      </c>
      <c r="G2" t="s">
        <v>3</v>
      </c>
      <c r="H2" t="s">
        <v>7</v>
      </c>
      <c r="I2" t="s">
        <v>8</v>
      </c>
    </row>
    <row r="3" spans="1:9" x14ac:dyDescent="0.35">
      <c r="A3">
        <v>2010</v>
      </c>
      <c r="B3" t="s">
        <v>0</v>
      </c>
      <c r="C3" s="2">
        <v>3000000</v>
      </c>
      <c r="D3">
        <v>30</v>
      </c>
      <c r="E3" t="s">
        <v>1</v>
      </c>
      <c r="F3" s="2">
        <v>10000</v>
      </c>
      <c r="G3" s="1">
        <f>C3/(D3*12)</f>
        <v>8333.3333333333339</v>
      </c>
      <c r="H3" s="3">
        <f>F3-G3</f>
        <v>1666.6666666666661</v>
      </c>
      <c r="I3" s="3">
        <f>H3*12</f>
        <v>19999.999999999993</v>
      </c>
    </row>
    <row r="4" spans="1:9" x14ac:dyDescent="0.35">
      <c r="C4" t="s">
        <v>9</v>
      </c>
    </row>
    <row r="5" spans="1:9" x14ac:dyDescent="0.35">
      <c r="A5">
        <v>2022</v>
      </c>
      <c r="B5" t="s">
        <v>0</v>
      </c>
      <c r="C5" s="2">
        <v>6000000</v>
      </c>
      <c r="D5" t="s">
        <v>10</v>
      </c>
      <c r="F5" s="2">
        <v>16000</v>
      </c>
      <c r="G5" s="1">
        <f>C3/(D3*12)</f>
        <v>8333.3333333333339</v>
      </c>
      <c r="H5" s="3">
        <f>F5-G5</f>
        <v>7666.6666666666661</v>
      </c>
      <c r="I5" s="4">
        <f>12*H5</f>
        <v>92000</v>
      </c>
    </row>
    <row r="7" spans="1:9" x14ac:dyDescent="0.35">
      <c r="D7" t="s">
        <v>11</v>
      </c>
      <c r="F7" s="5">
        <f>F5</f>
        <v>16000</v>
      </c>
      <c r="G7" s="1">
        <f>C5/(D3*12)</f>
        <v>16666.666666666668</v>
      </c>
      <c r="H7" s="3">
        <f>F7-G7</f>
        <v>-666.66666666666788</v>
      </c>
      <c r="I7" s="3">
        <f>H7*12</f>
        <v>-8000.0000000000146</v>
      </c>
    </row>
    <row r="9" spans="1:9" x14ac:dyDescent="0.35">
      <c r="D9" t="s">
        <v>12</v>
      </c>
    </row>
    <row r="10" spans="1:9" x14ac:dyDescent="0.35">
      <c r="A10" s="6"/>
      <c r="B10" s="6"/>
      <c r="G10" s="1">
        <f>(C5-12*C11)/(D3-B22)</f>
        <v>266666.66666666669</v>
      </c>
    </row>
    <row r="11" spans="1:9" x14ac:dyDescent="0.35">
      <c r="B11" s="7">
        <v>1</v>
      </c>
      <c r="C11" s="3">
        <f>$G$3*12</f>
        <v>100000</v>
      </c>
      <c r="G11" s="3">
        <f>G10/12</f>
        <v>22222.222222222223</v>
      </c>
    </row>
    <row r="12" spans="1:9" x14ac:dyDescent="0.35">
      <c r="B12" s="8">
        <v>2</v>
      </c>
      <c r="C12" s="3">
        <f>$G$3*12</f>
        <v>100000</v>
      </c>
    </row>
    <row r="13" spans="1:9" x14ac:dyDescent="0.35">
      <c r="B13" s="8">
        <v>3</v>
      </c>
      <c r="C13" s="3">
        <f t="shared" ref="C13:C22" si="0">$G$3*12</f>
        <v>100000</v>
      </c>
    </row>
    <row r="14" spans="1:9" x14ac:dyDescent="0.35">
      <c r="B14" s="8">
        <v>4</v>
      </c>
      <c r="C14" s="3">
        <f t="shared" si="0"/>
        <v>100000</v>
      </c>
    </row>
    <row r="15" spans="1:9" x14ac:dyDescent="0.35">
      <c r="B15" s="8">
        <v>5</v>
      </c>
      <c r="C15" s="3">
        <f t="shared" si="0"/>
        <v>100000</v>
      </c>
    </row>
    <row r="16" spans="1:9" x14ac:dyDescent="0.35">
      <c r="B16" s="8">
        <v>6</v>
      </c>
      <c r="C16" s="3">
        <f t="shared" si="0"/>
        <v>100000</v>
      </c>
    </row>
    <row r="17" spans="2:4" x14ac:dyDescent="0.35">
      <c r="B17" s="8">
        <v>7</v>
      </c>
      <c r="C17" s="3">
        <f t="shared" si="0"/>
        <v>100000</v>
      </c>
    </row>
    <row r="18" spans="2:4" x14ac:dyDescent="0.35">
      <c r="B18" s="8">
        <v>8</v>
      </c>
      <c r="C18" s="3">
        <f t="shared" si="0"/>
        <v>100000</v>
      </c>
    </row>
    <row r="19" spans="2:4" x14ac:dyDescent="0.35">
      <c r="B19" s="8">
        <v>9</v>
      </c>
      <c r="C19" s="3">
        <f t="shared" si="0"/>
        <v>100000</v>
      </c>
    </row>
    <row r="20" spans="2:4" x14ac:dyDescent="0.35">
      <c r="B20" s="8">
        <v>10</v>
      </c>
      <c r="C20" s="3">
        <f t="shared" si="0"/>
        <v>100000</v>
      </c>
    </row>
    <row r="21" spans="2:4" x14ac:dyDescent="0.35">
      <c r="B21" s="8">
        <v>11</v>
      </c>
      <c r="C21" s="3">
        <f t="shared" si="0"/>
        <v>100000</v>
      </c>
    </row>
    <row r="22" spans="2:4" x14ac:dyDescent="0.35">
      <c r="B22" s="8">
        <v>12</v>
      </c>
      <c r="C22" s="9">
        <f t="shared" si="0"/>
        <v>100000</v>
      </c>
      <c r="D22" s="10"/>
    </row>
    <row r="23" spans="2:4" x14ac:dyDescent="0.35">
      <c r="B23" s="8">
        <v>13</v>
      </c>
      <c r="C23" s="3">
        <f>$G$7*12</f>
        <v>200000</v>
      </c>
      <c r="D23" s="3">
        <f>$G$10</f>
        <v>266666.66666666669</v>
      </c>
    </row>
    <row r="24" spans="2:4" x14ac:dyDescent="0.35">
      <c r="B24" s="8">
        <v>14</v>
      </c>
      <c r="C24" s="3">
        <f t="shared" ref="C24:C40" si="1">$G$7*12</f>
        <v>200000</v>
      </c>
      <c r="D24" s="3">
        <f t="shared" ref="D24:D40" si="2">$G$10</f>
        <v>266666.66666666669</v>
      </c>
    </row>
    <row r="25" spans="2:4" x14ac:dyDescent="0.35">
      <c r="B25" s="8">
        <v>15</v>
      </c>
      <c r="C25" s="3">
        <f t="shared" si="1"/>
        <v>200000</v>
      </c>
      <c r="D25" s="3">
        <f t="shared" si="2"/>
        <v>266666.66666666669</v>
      </c>
    </row>
    <row r="26" spans="2:4" x14ac:dyDescent="0.35">
      <c r="B26" s="8">
        <v>16</v>
      </c>
      <c r="C26" s="3">
        <f t="shared" si="1"/>
        <v>200000</v>
      </c>
      <c r="D26" s="3">
        <f t="shared" si="2"/>
        <v>266666.66666666669</v>
      </c>
    </row>
    <row r="27" spans="2:4" x14ac:dyDescent="0.35">
      <c r="B27" s="8">
        <v>17</v>
      </c>
      <c r="C27" s="3">
        <f t="shared" si="1"/>
        <v>200000</v>
      </c>
      <c r="D27" s="3">
        <f t="shared" si="2"/>
        <v>266666.66666666669</v>
      </c>
    </row>
    <row r="28" spans="2:4" x14ac:dyDescent="0.35">
      <c r="B28" s="8">
        <v>18</v>
      </c>
      <c r="C28" s="3">
        <f t="shared" si="1"/>
        <v>200000</v>
      </c>
      <c r="D28" s="3">
        <f t="shared" si="2"/>
        <v>266666.66666666669</v>
      </c>
    </row>
    <row r="29" spans="2:4" x14ac:dyDescent="0.35">
      <c r="B29" s="8">
        <v>19</v>
      </c>
      <c r="C29" s="3">
        <f t="shared" si="1"/>
        <v>200000</v>
      </c>
      <c r="D29" s="3">
        <f t="shared" si="2"/>
        <v>266666.66666666669</v>
      </c>
    </row>
    <row r="30" spans="2:4" x14ac:dyDescent="0.35">
      <c r="B30" s="8">
        <v>20</v>
      </c>
      <c r="C30" s="3">
        <f t="shared" si="1"/>
        <v>200000</v>
      </c>
      <c r="D30" s="3">
        <f t="shared" si="2"/>
        <v>266666.66666666669</v>
      </c>
    </row>
    <row r="31" spans="2:4" x14ac:dyDescent="0.35">
      <c r="B31" s="8">
        <v>21</v>
      </c>
      <c r="C31" s="3">
        <f t="shared" si="1"/>
        <v>200000</v>
      </c>
      <c r="D31" s="3">
        <f t="shared" si="2"/>
        <v>266666.66666666669</v>
      </c>
    </row>
    <row r="32" spans="2:4" x14ac:dyDescent="0.35">
      <c r="B32" s="8">
        <v>22</v>
      </c>
      <c r="C32" s="3">
        <f t="shared" si="1"/>
        <v>200000</v>
      </c>
      <c r="D32" s="3">
        <f t="shared" si="2"/>
        <v>266666.66666666669</v>
      </c>
    </row>
    <row r="33" spans="2:4" x14ac:dyDescent="0.35">
      <c r="B33" s="8">
        <v>23</v>
      </c>
      <c r="C33" s="3">
        <f t="shared" si="1"/>
        <v>200000</v>
      </c>
      <c r="D33" s="3">
        <f t="shared" si="2"/>
        <v>266666.66666666669</v>
      </c>
    </row>
    <row r="34" spans="2:4" x14ac:dyDescent="0.35">
      <c r="B34" s="8">
        <v>24</v>
      </c>
      <c r="C34" s="3">
        <f t="shared" si="1"/>
        <v>200000</v>
      </c>
      <c r="D34" s="3">
        <f t="shared" si="2"/>
        <v>266666.66666666669</v>
      </c>
    </row>
    <row r="35" spans="2:4" x14ac:dyDescent="0.35">
      <c r="B35" s="8">
        <v>25</v>
      </c>
      <c r="C35" s="3">
        <f t="shared" si="1"/>
        <v>200000</v>
      </c>
      <c r="D35" s="3">
        <f t="shared" si="2"/>
        <v>266666.66666666669</v>
      </c>
    </row>
    <row r="36" spans="2:4" x14ac:dyDescent="0.35">
      <c r="B36" s="8">
        <v>26</v>
      </c>
      <c r="C36" s="3">
        <f t="shared" si="1"/>
        <v>200000</v>
      </c>
      <c r="D36" s="3">
        <f t="shared" si="2"/>
        <v>266666.66666666669</v>
      </c>
    </row>
    <row r="37" spans="2:4" x14ac:dyDescent="0.35">
      <c r="B37" s="8">
        <v>27</v>
      </c>
      <c r="C37" s="3">
        <f t="shared" si="1"/>
        <v>200000</v>
      </c>
      <c r="D37" s="3">
        <f t="shared" si="2"/>
        <v>266666.66666666669</v>
      </c>
    </row>
    <row r="38" spans="2:4" x14ac:dyDescent="0.35">
      <c r="B38" s="8">
        <v>28</v>
      </c>
      <c r="C38" s="3">
        <f t="shared" si="1"/>
        <v>200000</v>
      </c>
      <c r="D38" s="3">
        <f t="shared" si="2"/>
        <v>266666.66666666669</v>
      </c>
    </row>
    <row r="39" spans="2:4" x14ac:dyDescent="0.35">
      <c r="B39" s="8">
        <v>29</v>
      </c>
      <c r="C39" s="3">
        <f t="shared" si="1"/>
        <v>200000</v>
      </c>
      <c r="D39" s="3">
        <f t="shared" si="2"/>
        <v>266666.66666666669</v>
      </c>
    </row>
    <row r="40" spans="2:4" x14ac:dyDescent="0.35">
      <c r="B40" s="8">
        <v>30</v>
      </c>
      <c r="C40" s="3">
        <f t="shared" si="1"/>
        <v>200000</v>
      </c>
      <c r="D40" s="3">
        <f t="shared" si="2"/>
        <v>266666.66666666669</v>
      </c>
    </row>
    <row r="41" spans="2:4" x14ac:dyDescent="0.35">
      <c r="C41" s="3">
        <f>SUM(C11:C40)</f>
        <v>4800000</v>
      </c>
      <c r="D41" s="3">
        <f>SUM(D23:D40)+SUM(C11:C22)</f>
        <v>6000000</v>
      </c>
    </row>
  </sheetData>
  <pageMargins left="0.7" right="0.7" top="0.78740157499999996" bottom="0.78740157499999996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06F2C9-C65C-494D-93C9-7AEAC7CEB93B}">
  <dimension ref="B2:D7"/>
  <sheetViews>
    <sheetView zoomScale="150" zoomScaleNormal="150" workbookViewId="0">
      <selection activeCell="C7" sqref="C7:D7"/>
    </sheetView>
  </sheetViews>
  <sheetFormatPr defaultRowHeight="14.5" x14ac:dyDescent="0.35"/>
  <cols>
    <col min="2" max="2" width="17" bestFit="1" customWidth="1"/>
    <col min="3" max="4" width="13.54296875" bestFit="1" customWidth="1"/>
  </cols>
  <sheetData>
    <row r="2" spans="2:4" x14ac:dyDescent="0.35">
      <c r="B2" t="s">
        <v>13</v>
      </c>
      <c r="C2" t="s">
        <v>14</v>
      </c>
      <c r="D2" t="s">
        <v>15</v>
      </c>
    </row>
    <row r="3" spans="2:4" x14ac:dyDescent="0.35">
      <c r="B3" t="s">
        <v>16</v>
      </c>
      <c r="C3" s="1">
        <v>300000</v>
      </c>
      <c r="D3" s="1">
        <v>200000</v>
      </c>
    </row>
    <row r="4" spans="2:4" x14ac:dyDescent="0.35">
      <c r="B4" t="s">
        <v>17</v>
      </c>
      <c r="C4" s="1">
        <v>200000</v>
      </c>
      <c r="D4" s="1">
        <v>150000</v>
      </c>
    </row>
    <row r="5" spans="2:4" x14ac:dyDescent="0.35">
      <c r="B5" t="s">
        <v>6</v>
      </c>
      <c r="C5" s="3">
        <f>C3-C4</f>
        <v>100000</v>
      </c>
      <c r="D5" s="3">
        <f>D3-D4</f>
        <v>50000</v>
      </c>
    </row>
    <row r="6" spans="2:4" x14ac:dyDescent="0.35">
      <c r="B6" t="s">
        <v>18</v>
      </c>
      <c r="C6" s="1">
        <v>40000</v>
      </c>
    </row>
    <row r="7" spans="2:4" x14ac:dyDescent="0.35">
      <c r="B7" t="s">
        <v>19</v>
      </c>
      <c r="C7" s="3">
        <f>C5-C6</f>
        <v>60000</v>
      </c>
      <c r="D7" s="3">
        <f>D5-D6</f>
        <v>50000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617D2F-AB9F-4ED5-91DF-60105F205011}">
  <dimension ref="B1:J13"/>
  <sheetViews>
    <sheetView topLeftCell="A2" zoomScale="160" zoomScaleNormal="160" workbookViewId="0">
      <selection activeCell="E12" sqref="E12"/>
    </sheetView>
  </sheetViews>
  <sheetFormatPr defaultRowHeight="14.5" x14ac:dyDescent="0.35"/>
  <cols>
    <col min="1" max="1" width="3.7265625" customWidth="1"/>
    <col min="2" max="2" width="16.90625" customWidth="1"/>
    <col min="3" max="5" width="10.90625" bestFit="1" customWidth="1"/>
    <col min="8" max="10" width="10.90625" bestFit="1" customWidth="1"/>
  </cols>
  <sheetData>
    <row r="1" spans="2:10" x14ac:dyDescent="0.35">
      <c r="H1" s="12" t="s">
        <v>23</v>
      </c>
      <c r="I1" s="12"/>
    </row>
    <row r="2" spans="2:10" x14ac:dyDescent="0.35">
      <c r="H2" s="11"/>
      <c r="I2" s="15">
        <v>470000</v>
      </c>
    </row>
    <row r="3" spans="2:10" x14ac:dyDescent="0.35">
      <c r="C3" t="s">
        <v>14</v>
      </c>
      <c r="D3" t="s">
        <v>20</v>
      </c>
      <c r="E3" t="s">
        <v>15</v>
      </c>
      <c r="I3" s="8"/>
    </row>
    <row r="4" spans="2:10" x14ac:dyDescent="0.35">
      <c r="B4" t="s">
        <v>16</v>
      </c>
      <c r="C4" s="2">
        <v>500000</v>
      </c>
      <c r="D4" s="2">
        <v>900000</v>
      </c>
      <c r="E4" s="2">
        <v>600000</v>
      </c>
      <c r="G4" t="s">
        <v>20</v>
      </c>
      <c r="H4" s="5">
        <f>D8</f>
        <v>500000</v>
      </c>
      <c r="I4" s="13">
        <f>D9</f>
        <v>300000</v>
      </c>
      <c r="J4" s="5">
        <f>H4-I4</f>
        <v>200000</v>
      </c>
    </row>
    <row r="5" spans="2:10" x14ac:dyDescent="0.35">
      <c r="B5" t="s">
        <v>17</v>
      </c>
      <c r="C5" s="2">
        <v>300000</v>
      </c>
      <c r="D5" s="2">
        <v>600000</v>
      </c>
      <c r="E5" s="2">
        <v>400000</v>
      </c>
      <c r="I5" s="8"/>
    </row>
    <row r="6" spans="2:10" x14ac:dyDescent="0.35">
      <c r="B6" t="s">
        <v>6</v>
      </c>
      <c r="C6" s="2">
        <f>C4-C5</f>
        <v>200000</v>
      </c>
      <c r="D6" s="2">
        <f t="shared" ref="D6:E6" si="0">D4-D5</f>
        <v>300000</v>
      </c>
      <c r="E6" s="2">
        <f t="shared" si="0"/>
        <v>200000</v>
      </c>
      <c r="G6" t="s">
        <v>15</v>
      </c>
      <c r="H6" s="5">
        <f>E8</f>
        <v>400000</v>
      </c>
      <c r="I6" s="13">
        <f>E9</f>
        <v>150000</v>
      </c>
      <c r="J6" s="5">
        <f>H6-I6</f>
        <v>250000</v>
      </c>
    </row>
    <row r="7" spans="2:10" x14ac:dyDescent="0.35">
      <c r="C7" s="2"/>
      <c r="D7" s="2"/>
      <c r="E7" s="2"/>
      <c r="I7" s="8"/>
    </row>
    <row r="8" spans="2:10" x14ac:dyDescent="0.35">
      <c r="B8" t="s">
        <v>21</v>
      </c>
      <c r="C8" s="2">
        <v>50000</v>
      </c>
      <c r="D8" s="2">
        <v>500000</v>
      </c>
      <c r="E8" s="2">
        <v>400000</v>
      </c>
      <c r="G8" t="s">
        <v>14</v>
      </c>
      <c r="H8" s="5">
        <f>C8</f>
        <v>50000</v>
      </c>
      <c r="I8" s="13">
        <f>C9</f>
        <v>30000</v>
      </c>
      <c r="J8" s="5">
        <f>H8-I8</f>
        <v>20000</v>
      </c>
    </row>
    <row r="9" spans="2:10" x14ac:dyDescent="0.35">
      <c r="B9" t="s">
        <v>22</v>
      </c>
      <c r="C9" s="2">
        <v>30000</v>
      </c>
      <c r="D9" s="2">
        <v>300000</v>
      </c>
      <c r="E9" s="2">
        <v>150000</v>
      </c>
      <c r="I9" s="8"/>
    </row>
    <row r="10" spans="2:10" x14ac:dyDescent="0.35">
      <c r="B10" t="s">
        <v>26</v>
      </c>
      <c r="C10" s="5">
        <f>C8-C9</f>
        <v>20000</v>
      </c>
      <c r="D10" s="5">
        <f t="shared" ref="D10:E10" si="1">D8-D9</f>
        <v>200000</v>
      </c>
      <c r="E10" s="5">
        <f t="shared" si="1"/>
        <v>250000</v>
      </c>
      <c r="I10" s="8"/>
    </row>
    <row r="11" spans="2:10" x14ac:dyDescent="0.35">
      <c r="B11" t="s">
        <v>24</v>
      </c>
      <c r="C11" s="14">
        <v>0.15</v>
      </c>
      <c r="I11" s="8"/>
    </row>
    <row r="12" spans="2:10" x14ac:dyDescent="0.35">
      <c r="B12" t="s">
        <v>25</v>
      </c>
      <c r="C12" s="5">
        <f>$C$11*C10</f>
        <v>3000</v>
      </c>
      <c r="D12" s="5">
        <f t="shared" ref="D12:E12" si="2">$C$11*D10</f>
        <v>30000</v>
      </c>
      <c r="E12" s="5">
        <f t="shared" si="2"/>
        <v>37500</v>
      </c>
      <c r="I12" s="8"/>
    </row>
    <row r="13" spans="2:10" x14ac:dyDescent="0.35">
      <c r="B13" t="s">
        <v>19</v>
      </c>
      <c r="C13" s="5">
        <f>C6-C12</f>
        <v>197000</v>
      </c>
      <c r="D13" s="5">
        <f t="shared" ref="D13:E13" si="3">D6-D12</f>
        <v>270000</v>
      </c>
      <c r="E13" s="5">
        <f t="shared" si="3"/>
        <v>162500</v>
      </c>
      <c r="H13" s="2">
        <f>SUM(H2:H12)</f>
        <v>950000</v>
      </c>
      <c r="I13" s="2">
        <f>SUM(I2:I12)</f>
        <v>950000</v>
      </c>
      <c r="J13" s="5">
        <f>H13-I13</f>
        <v>0</v>
      </c>
    </row>
  </sheetData>
  <mergeCells count="1">
    <mergeCell ref="H1:I1"/>
  </mergeCell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E375F9-71E8-4017-B176-532511A57488}">
  <dimension ref="B1:P24"/>
  <sheetViews>
    <sheetView zoomScale="130" zoomScaleNormal="130" workbookViewId="0">
      <selection activeCell="F14" sqref="F14"/>
    </sheetView>
  </sheetViews>
  <sheetFormatPr defaultRowHeight="14.5" x14ac:dyDescent="0.35"/>
  <cols>
    <col min="1" max="1" width="1.08984375" customWidth="1"/>
    <col min="3" max="3" width="14.26953125" customWidth="1"/>
    <col min="4" max="4" width="16.1796875" bestFit="1" customWidth="1"/>
    <col min="5" max="5" width="14.54296875" bestFit="1" customWidth="1"/>
    <col min="6" max="6" width="7.90625" bestFit="1" customWidth="1"/>
    <col min="7" max="7" width="1.81640625" bestFit="1" customWidth="1"/>
    <col min="8" max="8" width="1.453125" bestFit="1" customWidth="1"/>
    <col min="9" max="9" width="2.90625" bestFit="1" customWidth="1"/>
    <col min="10" max="10" width="1.453125" bestFit="1" customWidth="1"/>
    <col min="11" max="11" width="2.90625" bestFit="1" customWidth="1"/>
    <col min="12" max="12" width="2.453125" bestFit="1" customWidth="1"/>
    <col min="13" max="13" width="8" bestFit="1" customWidth="1"/>
    <col min="14" max="14" width="1.453125" bestFit="1" customWidth="1"/>
    <col min="15" max="15" width="6" bestFit="1" customWidth="1"/>
  </cols>
  <sheetData>
    <row r="1" spans="2:16" x14ac:dyDescent="0.35">
      <c r="C1" t="s">
        <v>28</v>
      </c>
      <c r="D1" t="s">
        <v>71</v>
      </c>
      <c r="E1" t="s">
        <v>35</v>
      </c>
    </row>
    <row r="2" spans="2:16" x14ac:dyDescent="0.35">
      <c r="B2" t="s">
        <v>27</v>
      </c>
      <c r="C2" s="2">
        <v>35</v>
      </c>
      <c r="D2" s="21">
        <f>C2/C2</f>
        <v>1</v>
      </c>
      <c r="E2" t="s">
        <v>36</v>
      </c>
    </row>
    <row r="3" spans="2:16" x14ac:dyDescent="0.35">
      <c r="B3" t="s">
        <v>29</v>
      </c>
      <c r="C3" s="2">
        <v>20</v>
      </c>
      <c r="D3" s="17">
        <f>C3/35</f>
        <v>0.5714285714285714</v>
      </c>
      <c r="E3" t="s">
        <v>37</v>
      </c>
    </row>
    <row r="4" spans="2:16" x14ac:dyDescent="0.35">
      <c r="B4" t="s">
        <v>30</v>
      </c>
      <c r="C4" s="2">
        <v>50000</v>
      </c>
      <c r="F4" t="s">
        <v>41</v>
      </c>
      <c r="G4" t="s">
        <v>38</v>
      </c>
      <c r="H4" t="s">
        <v>44</v>
      </c>
      <c r="I4" t="s">
        <v>27</v>
      </c>
      <c r="J4" t="s">
        <v>39</v>
      </c>
      <c r="K4" t="s">
        <v>29</v>
      </c>
      <c r="L4" t="s">
        <v>43</v>
      </c>
      <c r="M4" t="s">
        <v>40</v>
      </c>
      <c r="O4" t="s">
        <v>30</v>
      </c>
    </row>
    <row r="5" spans="2:16" x14ac:dyDescent="0.35">
      <c r="F5">
        <v>30000</v>
      </c>
      <c r="G5" t="s">
        <v>38</v>
      </c>
      <c r="H5" t="s">
        <v>44</v>
      </c>
      <c r="I5">
        <v>35</v>
      </c>
      <c r="K5">
        <v>20</v>
      </c>
      <c r="L5" t="s">
        <v>43</v>
      </c>
      <c r="M5">
        <v>5333.33</v>
      </c>
      <c r="N5" t="s">
        <v>39</v>
      </c>
      <c r="O5">
        <v>50000</v>
      </c>
    </row>
    <row r="6" spans="2:16" x14ac:dyDescent="0.35">
      <c r="B6" t="s">
        <v>31</v>
      </c>
      <c r="C6" s="16">
        <f>C4/(C2-C3)</f>
        <v>3333.3333333333335</v>
      </c>
      <c r="F6">
        <v>10000</v>
      </c>
      <c r="G6" t="s">
        <v>38</v>
      </c>
      <c r="H6" t="s">
        <v>44</v>
      </c>
      <c r="I6" t="s">
        <v>42</v>
      </c>
      <c r="J6" t="s">
        <v>39</v>
      </c>
      <c r="K6">
        <v>20</v>
      </c>
      <c r="L6" t="s">
        <v>43</v>
      </c>
      <c r="M6">
        <v>5333.33</v>
      </c>
      <c r="N6" t="s">
        <v>39</v>
      </c>
      <c r="O6">
        <v>50000</v>
      </c>
    </row>
    <row r="7" spans="2:16" x14ac:dyDescent="0.35">
      <c r="E7" s="18" t="s">
        <v>42</v>
      </c>
      <c r="F7" s="21">
        <f>((F6+O6)/5333.33)+K6</f>
        <v>31.250007031254395</v>
      </c>
      <c r="P7" s="3">
        <f>C2-F7</f>
        <v>3.7499929687456053</v>
      </c>
    </row>
    <row r="8" spans="2:16" x14ac:dyDescent="0.35">
      <c r="B8" t="s">
        <v>32</v>
      </c>
      <c r="C8" s="1">
        <v>30000</v>
      </c>
      <c r="E8" t="s">
        <v>45</v>
      </c>
      <c r="F8" s="20">
        <f>F7/C2</f>
        <v>0.8928573437501256</v>
      </c>
    </row>
    <row r="9" spans="2:16" x14ac:dyDescent="0.35">
      <c r="B9" t="s">
        <v>33</v>
      </c>
      <c r="C9" s="17">
        <f>(C4+C8)/(C2-C3)</f>
        <v>5333.333333333333</v>
      </c>
      <c r="D9">
        <f>C9*35</f>
        <v>186666.66666666666</v>
      </c>
      <c r="E9" t="s">
        <v>46</v>
      </c>
      <c r="F9" s="22">
        <f>1-F8</f>
        <v>0.1071426562498744</v>
      </c>
    </row>
    <row r="11" spans="2:16" x14ac:dyDescent="0.35">
      <c r="B11" t="s">
        <v>34</v>
      </c>
      <c r="C11" s="2">
        <v>10000</v>
      </c>
      <c r="F11">
        <v>10000</v>
      </c>
      <c r="G11" t="s">
        <v>38</v>
      </c>
      <c r="H11" t="s">
        <v>44</v>
      </c>
      <c r="I11">
        <v>35</v>
      </c>
      <c r="J11" t="s">
        <v>39</v>
      </c>
      <c r="K11" t="s">
        <v>47</v>
      </c>
      <c r="L11" t="s">
        <v>43</v>
      </c>
      <c r="M11">
        <v>5333.33</v>
      </c>
      <c r="N11" t="s">
        <v>39</v>
      </c>
      <c r="O11">
        <v>50000</v>
      </c>
    </row>
    <row r="12" spans="2:16" x14ac:dyDescent="0.35">
      <c r="E12" t="s">
        <v>47</v>
      </c>
      <c r="F12" s="21">
        <f>(I11-(F11+O11)/M11)</f>
        <v>23.749992968745605</v>
      </c>
    </row>
    <row r="13" spans="2:16" x14ac:dyDescent="0.35">
      <c r="E13" t="s">
        <v>45</v>
      </c>
      <c r="F13" s="19">
        <f>F12/C3</f>
        <v>1.1874996484372802</v>
      </c>
    </row>
    <row r="14" spans="2:16" x14ac:dyDescent="0.35">
      <c r="E14" t="s">
        <v>46</v>
      </c>
      <c r="F14" s="23">
        <f>F13-1</f>
        <v>0.18749964843728018</v>
      </c>
    </row>
    <row r="16" spans="2:16" x14ac:dyDescent="0.35">
      <c r="F16">
        <v>10000</v>
      </c>
      <c r="G16" t="s">
        <v>38</v>
      </c>
      <c r="H16" t="s">
        <v>44</v>
      </c>
      <c r="I16">
        <v>35</v>
      </c>
      <c r="J16" t="s">
        <v>39</v>
      </c>
      <c r="K16">
        <v>20</v>
      </c>
      <c r="L16" t="s">
        <v>43</v>
      </c>
      <c r="M16" t="s">
        <v>48</v>
      </c>
      <c r="N16" t="s">
        <v>39</v>
      </c>
      <c r="O16">
        <v>50000</v>
      </c>
    </row>
    <row r="17" spans="5:15" x14ac:dyDescent="0.35">
      <c r="E17" t="s">
        <v>48</v>
      </c>
      <c r="F17">
        <f>(F16+O16)/(I16-K16)</f>
        <v>4000</v>
      </c>
    </row>
    <row r="18" spans="5:15" x14ac:dyDescent="0.35">
      <c r="E18" t="s">
        <v>45</v>
      </c>
      <c r="F18" s="20">
        <f>F17/C9</f>
        <v>0.75</v>
      </c>
    </row>
    <row r="19" spans="5:15" x14ac:dyDescent="0.35">
      <c r="E19" t="s">
        <v>46</v>
      </c>
      <c r="F19" s="22">
        <f>1-F18</f>
        <v>0.25</v>
      </c>
    </row>
    <row r="21" spans="5:15" x14ac:dyDescent="0.35">
      <c r="F21">
        <v>10000</v>
      </c>
      <c r="G21" t="s">
        <v>38</v>
      </c>
      <c r="H21" t="s">
        <v>44</v>
      </c>
      <c r="I21">
        <v>35</v>
      </c>
      <c r="J21" t="s">
        <v>39</v>
      </c>
      <c r="K21">
        <v>20</v>
      </c>
      <c r="L21" t="s">
        <v>43</v>
      </c>
      <c r="M21">
        <v>5333.33</v>
      </c>
      <c r="N21" t="s">
        <v>39</v>
      </c>
      <c r="O21" t="s">
        <v>30</v>
      </c>
    </row>
    <row r="22" spans="5:15" x14ac:dyDescent="0.35">
      <c r="E22" t="s">
        <v>49</v>
      </c>
      <c r="F22">
        <f>(I21-K21)*M21-F21</f>
        <v>69999.95</v>
      </c>
    </row>
    <row r="23" spans="5:15" x14ac:dyDescent="0.35">
      <c r="E23" t="s">
        <v>45</v>
      </c>
      <c r="F23" s="20">
        <f>F22/C4</f>
        <v>1.399999</v>
      </c>
    </row>
    <row r="24" spans="5:15" x14ac:dyDescent="0.35">
      <c r="E24" t="s">
        <v>46</v>
      </c>
      <c r="F24" s="22">
        <f>F23-1</f>
        <v>0.39999899999999999</v>
      </c>
    </row>
  </sheetData>
  <pageMargins left="0.7" right="0.7" top="0.78740157499999996" bottom="0.78740157499999996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657549-6207-4E6F-9D9F-E182E96B6930}">
  <dimension ref="B1:L28"/>
  <sheetViews>
    <sheetView zoomScale="160" zoomScaleNormal="160" workbookViewId="0">
      <selection activeCell="B1" sqref="B1:F5"/>
    </sheetView>
  </sheetViews>
  <sheetFormatPr defaultRowHeight="14.5" x14ac:dyDescent="0.35"/>
  <cols>
    <col min="1" max="1" width="0.7265625" customWidth="1"/>
    <col min="2" max="2" width="7.36328125" bestFit="1" customWidth="1"/>
    <col min="3" max="3" width="3.1796875" customWidth="1"/>
    <col min="4" max="4" width="3.453125" customWidth="1"/>
    <col min="5" max="5" width="4.81640625" bestFit="1" customWidth="1"/>
    <col min="6" max="6" width="7.54296875" bestFit="1" customWidth="1"/>
    <col min="7" max="7" width="18.26953125" bestFit="1" customWidth="1"/>
    <col min="8" max="10" width="10.81640625" bestFit="1" customWidth="1"/>
    <col min="12" max="12" width="9.81640625" bestFit="1" customWidth="1"/>
  </cols>
  <sheetData>
    <row r="1" spans="2:12" x14ac:dyDescent="0.35">
      <c r="C1" t="s">
        <v>27</v>
      </c>
      <c r="D1" t="s">
        <v>29</v>
      </c>
      <c r="E1" t="s">
        <v>40</v>
      </c>
      <c r="F1" t="s">
        <v>53</v>
      </c>
      <c r="H1" t="s">
        <v>54</v>
      </c>
      <c r="I1" t="s">
        <v>55</v>
      </c>
      <c r="J1" t="s">
        <v>56</v>
      </c>
      <c r="K1" t="s">
        <v>30</v>
      </c>
    </row>
    <row r="2" spans="2:12" x14ac:dyDescent="0.35">
      <c r="B2" t="s">
        <v>50</v>
      </c>
      <c r="C2">
        <v>35</v>
      </c>
      <c r="D2">
        <v>20</v>
      </c>
      <c r="E2">
        <v>4000</v>
      </c>
      <c r="H2">
        <f>C2*E2</f>
        <v>140000</v>
      </c>
      <c r="I2">
        <f>D2*E2</f>
        <v>80000</v>
      </c>
      <c r="J2">
        <f>H2-I2</f>
        <v>60000</v>
      </c>
    </row>
    <row r="3" spans="2:12" x14ac:dyDescent="0.35">
      <c r="B3" t="s">
        <v>51</v>
      </c>
      <c r="C3">
        <v>25</v>
      </c>
      <c r="D3">
        <v>20</v>
      </c>
      <c r="E3">
        <v>2000</v>
      </c>
      <c r="H3">
        <f t="shared" ref="H3:H4" si="0">C3*E3</f>
        <v>50000</v>
      </c>
      <c r="I3">
        <f t="shared" ref="I3:I4" si="1">D3*E3</f>
        <v>40000</v>
      </c>
      <c r="J3">
        <f t="shared" ref="J3:J4" si="2">H3-I3</f>
        <v>10000</v>
      </c>
    </row>
    <row r="4" spans="2:12" x14ac:dyDescent="0.35">
      <c r="B4" t="s">
        <v>52</v>
      </c>
      <c r="C4">
        <v>45</v>
      </c>
      <c r="D4">
        <v>30</v>
      </c>
      <c r="E4">
        <v>2000</v>
      </c>
      <c r="H4">
        <f t="shared" si="0"/>
        <v>90000</v>
      </c>
      <c r="I4">
        <f t="shared" si="1"/>
        <v>60000</v>
      </c>
      <c r="J4">
        <f t="shared" si="2"/>
        <v>30000</v>
      </c>
      <c r="L4" t="s">
        <v>58</v>
      </c>
    </row>
    <row r="5" spans="2:12" x14ac:dyDescent="0.35">
      <c r="F5">
        <v>50000</v>
      </c>
      <c r="G5" t="s">
        <v>57</v>
      </c>
      <c r="H5" s="2">
        <f>SUM(H2:H4)</f>
        <v>280000</v>
      </c>
      <c r="I5" s="2">
        <f t="shared" ref="I5:J5" si="3">SUM(I2:I4)</f>
        <v>180000</v>
      </c>
      <c r="J5" s="2">
        <f t="shared" si="3"/>
        <v>100000</v>
      </c>
      <c r="K5">
        <f>F5</f>
        <v>50000</v>
      </c>
      <c r="L5" s="5">
        <f>J5-K5</f>
        <v>50000</v>
      </c>
    </row>
    <row r="6" spans="2:12" x14ac:dyDescent="0.35">
      <c r="H6">
        <f>H5/$H$5</f>
        <v>1</v>
      </c>
      <c r="I6">
        <f>I5/$H$5</f>
        <v>0.6428571428571429</v>
      </c>
      <c r="J6">
        <f>J5/$H$5</f>
        <v>0.35714285714285715</v>
      </c>
    </row>
    <row r="7" spans="2:12" x14ac:dyDescent="0.35">
      <c r="F7" t="s">
        <v>59</v>
      </c>
      <c r="G7" s="2">
        <v>30000</v>
      </c>
    </row>
    <row r="9" spans="2:12" x14ac:dyDescent="0.35">
      <c r="G9">
        <v>500000</v>
      </c>
      <c r="H9" t="s">
        <v>38</v>
      </c>
      <c r="I9" t="s">
        <v>60</v>
      </c>
    </row>
    <row r="10" spans="2:12" x14ac:dyDescent="0.35">
      <c r="H10" s="5">
        <f>(H6-I6)*H5-K5</f>
        <v>49999.999999999985</v>
      </c>
    </row>
    <row r="11" spans="2:12" x14ac:dyDescent="0.35">
      <c r="G11">
        <v>30000</v>
      </c>
      <c r="H11" t="s">
        <v>38</v>
      </c>
      <c r="I11" t="s">
        <v>61</v>
      </c>
    </row>
    <row r="12" spans="2:12" x14ac:dyDescent="0.35">
      <c r="H12">
        <f>((G11+K5)/280000)+I6</f>
        <v>0.9285714285714286</v>
      </c>
    </row>
    <row r="13" spans="2:12" x14ac:dyDescent="0.35">
      <c r="G13" t="s">
        <v>63</v>
      </c>
      <c r="H13" s="23">
        <f>H6-H12</f>
        <v>7.1428571428571397E-2</v>
      </c>
    </row>
    <row r="15" spans="2:12" x14ac:dyDescent="0.35">
      <c r="G15">
        <v>30000</v>
      </c>
      <c r="H15" t="s">
        <v>38</v>
      </c>
      <c r="I15" t="s">
        <v>62</v>
      </c>
    </row>
    <row r="16" spans="2:12" x14ac:dyDescent="0.35">
      <c r="G16" t="s">
        <v>64</v>
      </c>
      <c r="H16" s="3">
        <f>1-((G15+K5)/H5)</f>
        <v>0.7142857142857143</v>
      </c>
    </row>
    <row r="17" spans="7:9" x14ac:dyDescent="0.35">
      <c r="G17" t="s">
        <v>65</v>
      </c>
      <c r="H17" s="3">
        <f>H16-I6</f>
        <v>7.1428571428571397E-2</v>
      </c>
    </row>
    <row r="18" spans="7:9" x14ac:dyDescent="0.35">
      <c r="G18" t="s">
        <v>66</v>
      </c>
      <c r="H18" s="23">
        <f>H17/I6</f>
        <v>0.11111111111111105</v>
      </c>
    </row>
    <row r="20" spans="7:9" x14ac:dyDescent="0.35">
      <c r="G20">
        <v>30000</v>
      </c>
      <c r="H20" t="s">
        <v>38</v>
      </c>
      <c r="I20" t="s">
        <v>67</v>
      </c>
    </row>
    <row r="21" spans="7:9" x14ac:dyDescent="0.35">
      <c r="G21" t="s">
        <v>68</v>
      </c>
      <c r="H21">
        <f>(G20+K5)/(H6-I6)</f>
        <v>224000.00000000003</v>
      </c>
    </row>
    <row r="22" spans="7:9" x14ac:dyDescent="0.35">
      <c r="G22" t="s">
        <v>45</v>
      </c>
      <c r="H22" s="20">
        <f>H21/H5</f>
        <v>0.80000000000000016</v>
      </c>
    </row>
    <row r="23" spans="7:9" x14ac:dyDescent="0.35">
      <c r="G23" t="s">
        <v>46</v>
      </c>
      <c r="H23" s="22">
        <f>1-H22</f>
        <v>0.19999999999999984</v>
      </c>
    </row>
    <row r="25" spans="7:9" x14ac:dyDescent="0.35">
      <c r="G25">
        <v>30000</v>
      </c>
      <c r="H25" t="s">
        <v>38</v>
      </c>
      <c r="I25" t="s">
        <v>69</v>
      </c>
    </row>
    <row r="26" spans="7:9" x14ac:dyDescent="0.35">
      <c r="G26" t="s">
        <v>70</v>
      </c>
      <c r="H26" s="5">
        <f>(H6-I6)*H5-G25</f>
        <v>69999.999999999985</v>
      </c>
    </row>
    <row r="27" spans="7:9" x14ac:dyDescent="0.35">
      <c r="G27" t="s">
        <v>45</v>
      </c>
      <c r="H27" s="19">
        <f>H26/K5</f>
        <v>1.3999999999999997</v>
      </c>
    </row>
    <row r="28" spans="7:9" x14ac:dyDescent="0.35">
      <c r="G28" t="s">
        <v>46</v>
      </c>
      <c r="H28" s="24">
        <f>H27-1</f>
        <v>0.39999999999999969</v>
      </c>
    </row>
  </sheetData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CC3105-2AB2-41D2-99AD-183F08256A56}">
  <dimension ref="B2:N19"/>
  <sheetViews>
    <sheetView tabSelected="1" workbookViewId="0">
      <selection activeCell="N5" sqref="N5:N19"/>
    </sheetView>
  </sheetViews>
  <sheetFormatPr defaultRowHeight="14.5" x14ac:dyDescent="0.35"/>
  <cols>
    <col min="6" max="6" width="16.6328125" customWidth="1"/>
    <col min="7" max="9" width="0" hidden="1" customWidth="1"/>
  </cols>
  <sheetData>
    <row r="2" spans="2:14" x14ac:dyDescent="0.35">
      <c r="B2" t="s">
        <v>30</v>
      </c>
      <c r="C2">
        <v>200000</v>
      </c>
    </row>
    <row r="3" spans="2:14" x14ac:dyDescent="0.35">
      <c r="B3" t="s">
        <v>72</v>
      </c>
      <c r="C3">
        <v>30</v>
      </c>
    </row>
    <row r="4" spans="2:14" x14ac:dyDescent="0.35">
      <c r="E4" t="s">
        <v>40</v>
      </c>
      <c r="F4" t="s">
        <v>73</v>
      </c>
      <c r="J4" t="s">
        <v>74</v>
      </c>
      <c r="M4" t="s">
        <v>75</v>
      </c>
    </row>
    <row r="5" spans="2:14" x14ac:dyDescent="0.35">
      <c r="E5">
        <v>0</v>
      </c>
      <c r="F5">
        <f>$C$2+$C$3*E5</f>
        <v>200000</v>
      </c>
      <c r="G5">
        <v>200000</v>
      </c>
      <c r="I5">
        <v>50000</v>
      </c>
      <c r="J5">
        <f>F5+I5</f>
        <v>250000</v>
      </c>
      <c r="K5">
        <v>250000</v>
      </c>
      <c r="L5">
        <v>100000</v>
      </c>
      <c r="M5">
        <f>J5+L5</f>
        <v>350000</v>
      </c>
      <c r="N5">
        <v>350000</v>
      </c>
    </row>
    <row r="6" spans="2:14" x14ac:dyDescent="0.35">
      <c r="E6">
        <v>500</v>
      </c>
      <c r="F6">
        <f>$C$2+$C$3*E6</f>
        <v>215000</v>
      </c>
      <c r="G6">
        <v>215000</v>
      </c>
      <c r="I6">
        <v>-50000</v>
      </c>
      <c r="J6">
        <f t="shared" ref="J6:J19" si="0">F6+I6</f>
        <v>165000</v>
      </c>
      <c r="K6">
        <v>165000</v>
      </c>
      <c r="L6">
        <v>-80000</v>
      </c>
      <c r="M6">
        <f t="shared" ref="M6:M19" si="1">J6+L6</f>
        <v>85000</v>
      </c>
      <c r="N6">
        <v>85000</v>
      </c>
    </row>
    <row r="7" spans="2:14" x14ac:dyDescent="0.35">
      <c r="E7">
        <v>1000</v>
      </c>
      <c r="F7">
        <f>$C$2+$C$3*E7</f>
        <v>230000</v>
      </c>
      <c r="G7">
        <v>230000</v>
      </c>
      <c r="I7">
        <v>50000</v>
      </c>
      <c r="J7">
        <f t="shared" si="0"/>
        <v>280000</v>
      </c>
      <c r="K7">
        <v>280000</v>
      </c>
      <c r="L7">
        <v>165000</v>
      </c>
      <c r="M7">
        <f t="shared" si="1"/>
        <v>445000</v>
      </c>
      <c r="N7">
        <v>445000</v>
      </c>
    </row>
    <row r="8" spans="2:14" x14ac:dyDescent="0.35">
      <c r="E8">
        <v>1500</v>
      </c>
      <c r="F8">
        <f>$C$2+$C$3*E8</f>
        <v>245000</v>
      </c>
      <c r="G8">
        <v>245000</v>
      </c>
      <c r="I8">
        <v>-50000</v>
      </c>
      <c r="J8">
        <f t="shared" si="0"/>
        <v>195000</v>
      </c>
      <c r="K8">
        <v>195000</v>
      </c>
      <c r="L8">
        <v>-32000</v>
      </c>
      <c r="M8">
        <f t="shared" si="1"/>
        <v>163000</v>
      </c>
      <c r="N8">
        <v>163000</v>
      </c>
    </row>
    <row r="9" spans="2:14" x14ac:dyDescent="0.35">
      <c r="E9">
        <v>2000</v>
      </c>
      <c r="F9">
        <f>$C$2+$C$3*E9</f>
        <v>260000</v>
      </c>
      <c r="G9">
        <v>260000</v>
      </c>
      <c r="I9">
        <v>50000</v>
      </c>
      <c r="J9">
        <f t="shared" si="0"/>
        <v>310000</v>
      </c>
      <c r="K9">
        <v>310000</v>
      </c>
      <c r="L9">
        <v>-65000</v>
      </c>
      <c r="M9">
        <f t="shared" si="1"/>
        <v>245000</v>
      </c>
      <c r="N9">
        <v>245000</v>
      </c>
    </row>
    <row r="10" spans="2:14" x14ac:dyDescent="0.35">
      <c r="E10">
        <v>2500</v>
      </c>
      <c r="F10">
        <f>$C$2+$C$3*E10</f>
        <v>275000</v>
      </c>
      <c r="G10">
        <v>275000</v>
      </c>
      <c r="I10">
        <v>-50000</v>
      </c>
      <c r="J10">
        <f t="shared" si="0"/>
        <v>225000</v>
      </c>
      <c r="K10">
        <v>225000</v>
      </c>
      <c r="L10">
        <v>28000</v>
      </c>
      <c r="M10">
        <f t="shared" si="1"/>
        <v>253000</v>
      </c>
      <c r="N10">
        <v>253000</v>
      </c>
    </row>
    <row r="11" spans="2:14" x14ac:dyDescent="0.35">
      <c r="E11">
        <v>3000</v>
      </c>
      <c r="F11">
        <f>$C$2+$C$3*E11</f>
        <v>290000</v>
      </c>
      <c r="G11">
        <v>290000</v>
      </c>
      <c r="I11">
        <v>50000</v>
      </c>
      <c r="J11">
        <f t="shared" si="0"/>
        <v>340000</v>
      </c>
      <c r="K11">
        <v>340000</v>
      </c>
      <c r="L11">
        <v>-97000</v>
      </c>
      <c r="M11">
        <f t="shared" si="1"/>
        <v>243000</v>
      </c>
      <c r="N11">
        <v>243000</v>
      </c>
    </row>
    <row r="12" spans="2:14" x14ac:dyDescent="0.35">
      <c r="E12">
        <v>3500</v>
      </c>
      <c r="F12">
        <f>$C$2+$C$3*E12</f>
        <v>305000</v>
      </c>
      <c r="G12">
        <v>305000</v>
      </c>
      <c r="I12">
        <v>-50000</v>
      </c>
      <c r="J12">
        <f t="shared" si="0"/>
        <v>255000</v>
      </c>
      <c r="K12">
        <v>255000</v>
      </c>
      <c r="L12">
        <v>149000</v>
      </c>
      <c r="M12">
        <f t="shared" si="1"/>
        <v>404000</v>
      </c>
      <c r="N12">
        <v>404000</v>
      </c>
    </row>
    <row r="13" spans="2:14" x14ac:dyDescent="0.35">
      <c r="E13">
        <v>4000</v>
      </c>
      <c r="F13">
        <f>$C$2+$C$3*E13</f>
        <v>320000</v>
      </c>
      <c r="G13">
        <v>320000</v>
      </c>
      <c r="I13">
        <v>50000</v>
      </c>
      <c r="J13">
        <f t="shared" si="0"/>
        <v>370000</v>
      </c>
      <c r="K13">
        <v>370000</v>
      </c>
      <c r="L13">
        <v>-137000</v>
      </c>
      <c r="M13">
        <f t="shared" si="1"/>
        <v>233000</v>
      </c>
      <c r="N13">
        <v>233000</v>
      </c>
    </row>
    <row r="14" spans="2:14" x14ac:dyDescent="0.35">
      <c r="E14">
        <v>4500</v>
      </c>
      <c r="F14">
        <f>$C$2+$C$3*E14</f>
        <v>335000</v>
      </c>
      <c r="G14">
        <v>335000</v>
      </c>
      <c r="I14">
        <v>-50000</v>
      </c>
      <c r="J14">
        <f t="shared" si="0"/>
        <v>285000</v>
      </c>
      <c r="K14">
        <v>285000</v>
      </c>
      <c r="L14">
        <v>52000</v>
      </c>
      <c r="M14">
        <f t="shared" si="1"/>
        <v>337000</v>
      </c>
      <c r="N14">
        <v>337000</v>
      </c>
    </row>
    <row r="15" spans="2:14" x14ac:dyDescent="0.35">
      <c r="E15">
        <v>5000</v>
      </c>
      <c r="F15">
        <f>$C$2+$C$3*E15</f>
        <v>350000</v>
      </c>
      <c r="G15">
        <v>350000</v>
      </c>
      <c r="I15">
        <v>50000</v>
      </c>
      <c r="J15">
        <f t="shared" si="0"/>
        <v>400000</v>
      </c>
      <c r="K15">
        <v>400000</v>
      </c>
      <c r="L15">
        <v>-89000</v>
      </c>
      <c r="M15">
        <f t="shared" si="1"/>
        <v>311000</v>
      </c>
      <c r="N15">
        <v>311000</v>
      </c>
    </row>
    <row r="16" spans="2:14" x14ac:dyDescent="0.35">
      <c r="E16">
        <v>5500</v>
      </c>
      <c r="F16">
        <f>$C$2+$C$3*E16</f>
        <v>365000</v>
      </c>
      <c r="G16">
        <v>365000</v>
      </c>
      <c r="I16">
        <v>-50000</v>
      </c>
      <c r="J16">
        <f t="shared" si="0"/>
        <v>315000</v>
      </c>
      <c r="K16">
        <v>315000</v>
      </c>
      <c r="L16">
        <v>156000</v>
      </c>
      <c r="M16">
        <f t="shared" si="1"/>
        <v>471000</v>
      </c>
      <c r="N16">
        <v>471000</v>
      </c>
    </row>
    <row r="17" spans="5:14" x14ac:dyDescent="0.35">
      <c r="E17">
        <v>6000</v>
      </c>
      <c r="F17">
        <f>$C$2+$C$3*E17</f>
        <v>380000</v>
      </c>
      <c r="G17">
        <v>380000</v>
      </c>
      <c r="I17">
        <v>50000</v>
      </c>
      <c r="J17">
        <f t="shared" si="0"/>
        <v>430000</v>
      </c>
      <c r="K17">
        <v>430000</v>
      </c>
      <c r="L17">
        <v>-97000</v>
      </c>
      <c r="M17">
        <f t="shared" si="1"/>
        <v>333000</v>
      </c>
      <c r="N17">
        <v>333000</v>
      </c>
    </row>
    <row r="18" spans="5:14" x14ac:dyDescent="0.35">
      <c r="E18">
        <v>6500</v>
      </c>
      <c r="F18">
        <f>$C$2+$C$3*E18</f>
        <v>395000</v>
      </c>
      <c r="G18">
        <v>395000</v>
      </c>
      <c r="I18">
        <v>-50000</v>
      </c>
      <c r="J18">
        <f t="shared" si="0"/>
        <v>345000</v>
      </c>
      <c r="K18">
        <v>345000</v>
      </c>
      <c r="L18">
        <v>68000</v>
      </c>
      <c r="M18">
        <f t="shared" si="1"/>
        <v>413000</v>
      </c>
      <c r="N18">
        <v>413000</v>
      </c>
    </row>
    <row r="19" spans="5:14" x14ac:dyDescent="0.35">
      <c r="E19">
        <v>7000</v>
      </c>
      <c r="F19">
        <f>$C$2+$C$3*E19</f>
        <v>410000</v>
      </c>
      <c r="G19">
        <v>410000</v>
      </c>
      <c r="I19">
        <v>50000</v>
      </c>
      <c r="J19">
        <f t="shared" si="0"/>
        <v>460000</v>
      </c>
      <c r="K19">
        <v>460000</v>
      </c>
      <c r="L19">
        <v>32000</v>
      </c>
      <c r="M19">
        <f t="shared" si="1"/>
        <v>492000</v>
      </c>
      <c r="N19">
        <v>492000</v>
      </c>
    </row>
  </sheetData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6</vt:i4>
      </vt:variant>
    </vt:vector>
  </HeadingPairs>
  <TitlesOfParts>
    <vt:vector size="6" baseType="lpstr">
      <vt:lpstr>Pojeti_nakladu_I</vt:lpstr>
      <vt:lpstr>Pojeti_nakladu_II</vt:lpstr>
      <vt:lpstr>CPK</vt:lpstr>
      <vt:lpstr>CVP</vt:lpstr>
      <vt:lpstr>CVP_hodnotově</vt:lpstr>
      <vt:lpstr>Regrese</vt:lpstr>
    </vt:vector>
  </TitlesOfParts>
  <Company>MV?O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mensikm</dc:creator>
  <cp:lastModifiedBy>mensikm</cp:lastModifiedBy>
  <dcterms:created xsi:type="dcterms:W3CDTF">2022-09-30T08:55:56Z</dcterms:created>
  <dcterms:modified xsi:type="dcterms:W3CDTF">2022-09-30T12:07:04Z</dcterms:modified>
</cp:coreProperties>
</file>