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sikm\Downloads\"/>
    </mc:Choice>
  </mc:AlternateContent>
  <xr:revisionPtr revIDLastSave="0" documentId="13_ncr:1_{7CDDFA8E-7494-4209-9066-B398B32F56AA}" xr6:coauthVersionLast="47" xr6:coauthVersionMax="47" xr10:uidLastSave="{00000000-0000-0000-0000-000000000000}"/>
  <bookViews>
    <workbookView xWindow="-28920" yWindow="-1425" windowWidth="29040" windowHeight="17640" activeTab="4" xr2:uid="{2F0D02F2-D64F-48A5-B263-0467595B9A52}"/>
  </bookViews>
  <sheets>
    <sheet name="VPC" sheetId="1" r:id="rId1"/>
    <sheet name="VPC_motivace " sheetId="3" r:id="rId2"/>
    <sheet name="AC_VC" sheetId="2" r:id="rId3"/>
    <sheet name="List2" sheetId="4" r:id="rId4"/>
    <sheet name="List3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5" l="1"/>
  <c r="F6" i="5"/>
  <c r="E5" i="5"/>
  <c r="F3" i="5"/>
  <c r="E3" i="5"/>
  <c r="C18" i="5"/>
  <c r="C17" i="5"/>
  <c r="D7" i="5"/>
  <c r="C15" i="5"/>
  <c r="D10" i="5"/>
  <c r="D6" i="5"/>
  <c r="D4" i="5"/>
  <c r="D5" i="5"/>
  <c r="D3" i="5"/>
  <c r="C12" i="5"/>
  <c r="F8" i="4"/>
  <c r="E8" i="4"/>
  <c r="E3" i="4"/>
  <c r="F3" i="4"/>
  <c r="E4" i="4"/>
  <c r="F4" i="4"/>
  <c r="E5" i="4"/>
  <c r="F5" i="4"/>
  <c r="E6" i="4"/>
  <c r="F6" i="4"/>
  <c r="E7" i="4"/>
  <c r="F7" i="4"/>
  <c r="F2" i="4"/>
  <c r="E2" i="4"/>
  <c r="D3" i="4"/>
  <c r="D4" i="4"/>
  <c r="D5" i="4"/>
  <c r="D6" i="4"/>
  <c r="D7" i="4"/>
  <c r="D2" i="4"/>
  <c r="C3" i="4"/>
  <c r="C4" i="4"/>
  <c r="C5" i="4"/>
  <c r="C6" i="4"/>
  <c r="C7" i="4"/>
  <c r="C2" i="4"/>
  <c r="J20" i="2"/>
  <c r="I20" i="2"/>
  <c r="E26" i="2"/>
  <c r="D26" i="2"/>
  <c r="I18" i="2"/>
  <c r="J18" i="2"/>
  <c r="H18" i="2"/>
  <c r="I17" i="2"/>
  <c r="J17" i="2"/>
  <c r="H17" i="2"/>
  <c r="J16" i="2"/>
  <c r="I16" i="2"/>
  <c r="H16" i="2"/>
  <c r="I15" i="2"/>
  <c r="J15" i="2"/>
  <c r="H15" i="2"/>
  <c r="I12" i="2"/>
  <c r="J12" i="2"/>
  <c r="H12" i="2"/>
  <c r="I11" i="2"/>
  <c r="J11" i="2"/>
  <c r="H11" i="2"/>
  <c r="J10" i="2"/>
  <c r="I10" i="2"/>
  <c r="H10" i="2"/>
  <c r="I9" i="2"/>
  <c r="J9" i="2"/>
  <c r="H9" i="2"/>
  <c r="I6" i="2"/>
  <c r="J6" i="2"/>
  <c r="H6" i="2"/>
  <c r="J5" i="2"/>
  <c r="I5" i="2"/>
  <c r="H5" i="2"/>
  <c r="I4" i="2"/>
  <c r="J4" i="2"/>
  <c r="H4" i="2"/>
  <c r="I3" i="2"/>
  <c r="J3" i="2"/>
  <c r="H3" i="2"/>
  <c r="F21" i="2"/>
  <c r="F22" i="2"/>
  <c r="F23" i="2"/>
  <c r="F24" i="2"/>
  <c r="F20" i="2"/>
  <c r="D23" i="2"/>
  <c r="E23" i="2"/>
  <c r="C23" i="2"/>
  <c r="D21" i="2"/>
  <c r="E21" i="2"/>
  <c r="D20" i="2"/>
  <c r="D22" i="2" s="1"/>
  <c r="D24" i="2" s="1"/>
  <c r="E20" i="2"/>
  <c r="E22" i="2" s="1"/>
  <c r="E24" i="2" s="1"/>
  <c r="C20" i="2"/>
  <c r="C18" i="2"/>
  <c r="C21" i="2" s="1"/>
  <c r="C14" i="2"/>
  <c r="D13" i="2"/>
  <c r="E13" i="2"/>
  <c r="C13" i="2"/>
  <c r="C15" i="2" s="1"/>
  <c r="C11" i="2"/>
  <c r="D14" i="2" s="1"/>
  <c r="Q28" i="3"/>
  <c r="Q27" i="3"/>
  <c r="Q26" i="3"/>
  <c r="Q23" i="3"/>
  <c r="S16" i="3"/>
  <c r="S22" i="3"/>
  <c r="J19" i="3"/>
  <c r="Q22" i="3"/>
  <c r="N17" i="3"/>
  <c r="Q16" i="3"/>
  <c r="N16" i="3"/>
  <c r="G18" i="3"/>
  <c r="G17" i="3"/>
  <c r="G16" i="3"/>
  <c r="S10" i="3"/>
  <c r="J13" i="3"/>
  <c r="Q10" i="3"/>
  <c r="N10" i="3"/>
  <c r="G12" i="3"/>
  <c r="G11" i="3"/>
  <c r="G10" i="3"/>
  <c r="S4" i="3"/>
  <c r="J7" i="3"/>
  <c r="Q4" i="3"/>
  <c r="N4" i="3"/>
  <c r="G5" i="3"/>
  <c r="G4" i="3"/>
  <c r="Q29" i="1"/>
  <c r="D19" i="1"/>
  <c r="D13" i="1"/>
  <c r="D7" i="1"/>
  <c r="Q28" i="1"/>
  <c r="J19" i="1"/>
  <c r="Q27" i="1"/>
  <c r="Q25" i="1"/>
  <c r="S16" i="1"/>
  <c r="S22" i="1"/>
  <c r="Q24" i="1"/>
  <c r="N17" i="1"/>
  <c r="N16" i="1"/>
  <c r="Q16" i="1" s="1"/>
  <c r="S10" i="1"/>
  <c r="G18" i="1"/>
  <c r="G17" i="1"/>
  <c r="G16" i="1"/>
  <c r="J13" i="1"/>
  <c r="Q23" i="1"/>
  <c r="N11" i="1"/>
  <c r="Q10" i="1"/>
  <c r="N10" i="1"/>
  <c r="G13" i="1"/>
  <c r="G12" i="1"/>
  <c r="G10" i="1"/>
  <c r="S4" i="1"/>
  <c r="Q22" i="1"/>
  <c r="Q4" i="1"/>
  <c r="J7" i="1"/>
  <c r="N5" i="1"/>
  <c r="N4" i="1"/>
  <c r="G5" i="1"/>
  <c r="G4" i="1"/>
  <c r="C22" i="2" l="1"/>
  <c r="C24" i="2" s="1"/>
  <c r="D15" i="2"/>
  <c r="F13" i="2"/>
  <c r="E14" i="2"/>
  <c r="F14" i="2" s="1"/>
  <c r="F15" i="2" l="1"/>
  <c r="E15" i="2"/>
</calcChain>
</file>

<file path=xl/sharedStrings.xml><?xml version="1.0" encoding="utf-8"?>
<sst xmlns="http://schemas.openxmlformats.org/spreadsheetml/2006/main" count="165" uniqueCount="88">
  <si>
    <t>Výroba jízdních kol, probíhá ve třech fázích</t>
  </si>
  <si>
    <t>1. fáze - Svařování</t>
  </si>
  <si>
    <t>Q</t>
  </si>
  <si>
    <t>VNj</t>
  </si>
  <si>
    <t>FN</t>
  </si>
  <si>
    <t>2. fáze - Lakování</t>
  </si>
  <si>
    <t>3. fáze - Osazení</t>
  </si>
  <si>
    <t>PS</t>
  </si>
  <si>
    <t>SK</t>
  </si>
  <si>
    <t>Cj</t>
  </si>
  <si>
    <t>Qv</t>
  </si>
  <si>
    <t>Qp</t>
  </si>
  <si>
    <t>VC</t>
  </si>
  <si>
    <t>AC</t>
  </si>
  <si>
    <t>(800 000 mzdy, 1 800 000 odpisy)</t>
  </si>
  <si>
    <t>(nakupovaný materiál)</t>
  </si>
  <si>
    <t>1.</t>
  </si>
  <si>
    <t>2.</t>
  </si>
  <si>
    <t>3.</t>
  </si>
  <si>
    <t>Výroba jízdních kol, probíhá ve třech stupních</t>
  </si>
  <si>
    <t>1. stupeň - Svařování</t>
  </si>
  <si>
    <t>2. stupeň - Lakování</t>
  </si>
  <si>
    <t>3. stupeň - Osazení</t>
  </si>
  <si>
    <t>N - SKN 1. STUPEŇ</t>
  </si>
  <si>
    <t>IV - PSN VC</t>
  </si>
  <si>
    <t>VPVH=</t>
  </si>
  <si>
    <t>Sklad 1 stupeň</t>
  </si>
  <si>
    <t>Z/Z</t>
  </si>
  <si>
    <t>4.</t>
  </si>
  <si>
    <t>VPC - PS VC</t>
  </si>
  <si>
    <t>5.</t>
  </si>
  <si>
    <t>N - SKN 2. STUPEŇ</t>
  </si>
  <si>
    <t>N - SKN 2. STUPEŇ - vstup z 1. stupně</t>
  </si>
  <si>
    <t>6.</t>
  </si>
  <si>
    <t>7.</t>
  </si>
  <si>
    <t>8.</t>
  </si>
  <si>
    <t>Sklad 2. stupeň</t>
  </si>
  <si>
    <t>9.</t>
  </si>
  <si>
    <t>10.</t>
  </si>
  <si>
    <t>N - SKN 3. stupeň</t>
  </si>
  <si>
    <t>11.</t>
  </si>
  <si>
    <t>12.</t>
  </si>
  <si>
    <t>13.</t>
  </si>
  <si>
    <t>Sklad - Hotové výrobky</t>
  </si>
  <si>
    <t>14.</t>
  </si>
  <si>
    <t>Zákazníci si koupili 850 kol za cenu 20 000</t>
  </si>
  <si>
    <t>15.</t>
  </si>
  <si>
    <t>16.</t>
  </si>
  <si>
    <t>Výsledek z prodeje</t>
  </si>
  <si>
    <t>Výsledek z prodeje=</t>
  </si>
  <si>
    <t>Souhrn VPVH středisek=</t>
  </si>
  <si>
    <t>Zisk=</t>
  </si>
  <si>
    <t>VPC - PS  VN - VC, FN uznávány až po dokončení výrobku (projde 3. stupněm)</t>
  </si>
  <si>
    <t>N - SKN 1. stupeň</t>
  </si>
  <si>
    <t>A - Sklad 1. stupně</t>
  </si>
  <si>
    <t>N - SK N 2. STUPEŇ</t>
  </si>
  <si>
    <t>IV - VC / PS VNj 1 . Stupeň</t>
  </si>
  <si>
    <t>IV - VC / PS VNj 2. stupeň</t>
  </si>
  <si>
    <t>A - Sklad 2. stupně</t>
  </si>
  <si>
    <t>N - SK N 3. STUPEŇ</t>
  </si>
  <si>
    <t>IV - VC / PS VNj 3. stupeň</t>
  </si>
  <si>
    <t>A - sklad hotových výrobků</t>
  </si>
  <si>
    <t>Souhrn VPV H</t>
  </si>
  <si>
    <t>Zisk</t>
  </si>
  <si>
    <t>T</t>
  </si>
  <si>
    <t>VN</t>
  </si>
  <si>
    <t>M</t>
  </si>
  <si>
    <t>Z</t>
  </si>
  <si>
    <t>Celkem</t>
  </si>
  <si>
    <t>NPV</t>
  </si>
  <si>
    <t>FN jako blok</t>
  </si>
  <si>
    <t>CF1</t>
  </si>
  <si>
    <t>Příjmy</t>
  </si>
  <si>
    <t>Výdaje VN</t>
  </si>
  <si>
    <t>Výdaje FN</t>
  </si>
  <si>
    <t>CF</t>
  </si>
  <si>
    <t>HV</t>
  </si>
  <si>
    <t>CF2 AC</t>
  </si>
  <si>
    <t>ODPISY</t>
  </si>
  <si>
    <t>Změna zásob</t>
  </si>
  <si>
    <t>CF3 VC</t>
  </si>
  <si>
    <t>SH</t>
  </si>
  <si>
    <t>Mat</t>
  </si>
  <si>
    <t>El</t>
  </si>
  <si>
    <t>JM kontrola</t>
  </si>
  <si>
    <t>Odpisy</t>
  </si>
  <si>
    <t>tržby</t>
  </si>
  <si>
    <t>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</si>
</sst>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5" formatCode="_-* #,##0\ &quot;Kč&quot;_-;\-* #,##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4" fontId="0" fillId="0" borderId="0" xfId="0" applyNumberForma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44" fontId="0" fillId="2" borderId="0" xfId="0" applyNumberFormat="1" applyFill="1"/>
    <xf numFmtId="44" fontId="2" fillId="2" borderId="0" xfId="0" applyNumberFormat="1" applyFont="1" applyFill="1"/>
    <xf numFmtId="165" fontId="0" fillId="0" borderId="0" xfId="1" applyNumberFormat="1" applyFont="1"/>
    <xf numFmtId="9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AC_VC!$C$15:$E$15</c:f>
              <c:numCache>
                <c:formatCode>_("Kč"* #,##0.00_);_("Kč"* \(#,##0.00\);_("Kč"* "-"??_);_(@_)</c:formatCode>
                <c:ptCount val="3"/>
                <c:pt idx="0">
                  <c:v>400000</c:v>
                </c:pt>
                <c:pt idx="1">
                  <c:v>320000</c:v>
                </c:pt>
                <c:pt idx="2">
                  <c:v>480000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DD-4A1A-B5B8-0190DFD802F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AC_VC!$C$24:$E$24</c:f>
              <c:numCache>
                <c:formatCode>_("Kč"* #,##0.00_);_("Kč"* \(#,##0.00\);_("Kč"* "-"??_);_(@_)</c:formatCode>
                <c:ptCount val="3"/>
                <c:pt idx="0">
                  <c:v>400000</c:v>
                </c:pt>
                <c:pt idx="1">
                  <c:v>-200000</c:v>
                </c:pt>
                <c:pt idx="2">
                  <c:v>1000000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DD-4A1A-B5B8-0190DFD80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526895"/>
        <c:axId val="371531471"/>
      </c:lineChart>
      <c:catAx>
        <c:axId val="371526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531471"/>
        <c:crosses val="autoZero"/>
        <c:auto val="1"/>
        <c:lblAlgn val="ctr"/>
        <c:lblOffset val="100"/>
        <c:noMultiLvlLbl val="0"/>
      </c:catAx>
      <c:valAx>
        <c:axId val="371531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Kč&quot;* #,##0.00_);_(&quot;Kč&quot;* \(#,##0.00\);_(&quot;Kč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526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133946</xdr:colOff>
      <xdr:row>0</xdr:row>
      <xdr:rowOff>0</xdr:rowOff>
    </xdr:from>
    <xdr:to>
      <xdr:col>27</xdr:col>
      <xdr:colOff>455414</xdr:colOff>
      <xdr:row>14</xdr:row>
      <xdr:rowOff>76200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88D3B585-62E2-4AD7-B536-7FFC75C486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119C9-A69A-4839-8E5A-2799D2505666}">
  <dimension ref="A1:S29"/>
  <sheetViews>
    <sheetView zoomScale="150" zoomScaleNormal="150" workbookViewId="0">
      <selection activeCell="Q27" sqref="Q27"/>
    </sheetView>
  </sheetViews>
  <sheetFormatPr defaultRowHeight="15" x14ac:dyDescent="0.25"/>
  <cols>
    <col min="3" max="4" width="16.140625" bestFit="1" customWidth="1"/>
    <col min="5" max="5" width="3.85546875" customWidth="1"/>
    <col min="6" max="6" width="3" customWidth="1"/>
    <col min="7" max="7" width="15.5703125" bestFit="1" customWidth="1"/>
    <col min="8" max="8" width="3" customWidth="1"/>
    <col min="10" max="10" width="9.5703125" customWidth="1"/>
    <col min="11" max="11" width="4.140625" customWidth="1"/>
    <col min="13" max="13" width="2.85546875" customWidth="1"/>
    <col min="14" max="14" width="15.5703125" bestFit="1" customWidth="1"/>
    <col min="15" max="15" width="2.85546875" customWidth="1"/>
    <col min="16" max="16" width="3.85546875" customWidth="1"/>
    <col min="17" max="17" width="15.5703125" bestFit="1" customWidth="1"/>
    <col min="18" max="18" width="5.140625" customWidth="1"/>
    <col min="19" max="19" width="16.5703125" bestFit="1" customWidth="1"/>
  </cols>
  <sheetData>
    <row r="1" spans="1:19" x14ac:dyDescent="0.25">
      <c r="A1" t="s">
        <v>19</v>
      </c>
      <c r="H1" t="s">
        <v>29</v>
      </c>
    </row>
    <row r="3" spans="1:19" x14ac:dyDescent="0.25">
      <c r="A3" t="s">
        <v>20</v>
      </c>
      <c r="C3" s="3" t="s">
        <v>7</v>
      </c>
      <c r="D3" s="3" t="s">
        <v>8</v>
      </c>
      <c r="F3" s="4"/>
      <c r="G3" s="4" t="s">
        <v>23</v>
      </c>
      <c r="H3" s="4"/>
      <c r="I3" s="4"/>
      <c r="K3" s="4"/>
      <c r="L3" s="4" t="s">
        <v>24</v>
      </c>
      <c r="M3" s="4"/>
      <c r="N3" s="4"/>
      <c r="P3" s="4"/>
      <c r="Q3" s="4" t="s">
        <v>26</v>
      </c>
      <c r="R3" s="4"/>
      <c r="S3" s="4"/>
    </row>
    <row r="4" spans="1:19" x14ac:dyDescent="0.25">
      <c r="B4" t="s">
        <v>2</v>
      </c>
      <c r="C4">
        <v>1500</v>
      </c>
      <c r="D4">
        <v>1500</v>
      </c>
      <c r="F4" t="s">
        <v>16</v>
      </c>
      <c r="G4" s="2">
        <f>D5</f>
        <v>2900000</v>
      </c>
      <c r="H4" s="5"/>
      <c r="M4" s="5" t="s">
        <v>18</v>
      </c>
      <c r="N4" s="2">
        <f>C6</f>
        <v>2000000</v>
      </c>
      <c r="P4" t="s">
        <v>28</v>
      </c>
      <c r="Q4" s="2">
        <f>N5</f>
        <v>3000000</v>
      </c>
      <c r="R4" s="5" t="s">
        <v>30</v>
      </c>
      <c r="S4" s="2">
        <f>C5*D10</f>
        <v>2400000</v>
      </c>
    </row>
    <row r="5" spans="1:19" x14ac:dyDescent="0.25">
      <c r="B5" t="s">
        <v>3</v>
      </c>
      <c r="C5" s="1">
        <v>2000</v>
      </c>
      <c r="D5" s="1">
        <v>2900000</v>
      </c>
      <c r="E5" s="1"/>
      <c r="F5" t="s">
        <v>17</v>
      </c>
      <c r="G5" s="2">
        <f>D6</f>
        <v>2050000</v>
      </c>
      <c r="H5" s="6"/>
      <c r="M5" s="6" t="s">
        <v>28</v>
      </c>
      <c r="N5" s="2">
        <f>C5*D4</f>
        <v>3000000</v>
      </c>
      <c r="R5" s="6"/>
    </row>
    <row r="6" spans="1:19" x14ac:dyDescent="0.25">
      <c r="B6" t="s">
        <v>4</v>
      </c>
      <c r="C6" s="1">
        <v>2000000</v>
      </c>
      <c r="D6" s="1">
        <v>2050000</v>
      </c>
      <c r="H6" s="6"/>
      <c r="M6" s="6"/>
      <c r="R6" s="6"/>
    </row>
    <row r="7" spans="1:19" x14ac:dyDescent="0.25">
      <c r="D7" s="2">
        <f>D5/D4</f>
        <v>1933.3333333333333</v>
      </c>
      <c r="H7" s="6"/>
      <c r="I7" s="10" t="s">
        <v>25</v>
      </c>
      <c r="J7" s="11">
        <f>N5+N4-G4-G5</f>
        <v>50000</v>
      </c>
      <c r="K7" s="7"/>
      <c r="M7" s="6"/>
      <c r="R7" s="6"/>
    </row>
    <row r="9" spans="1:19" x14ac:dyDescent="0.25">
      <c r="A9" t="s">
        <v>21</v>
      </c>
      <c r="F9" s="4"/>
      <c r="G9" s="4" t="s">
        <v>32</v>
      </c>
      <c r="H9" s="4"/>
      <c r="I9" s="4"/>
      <c r="K9" s="4"/>
      <c r="L9" s="4" t="s">
        <v>24</v>
      </c>
      <c r="M9" s="4"/>
      <c r="N9" s="4"/>
      <c r="P9" s="4"/>
      <c r="Q9" s="4" t="s">
        <v>36</v>
      </c>
      <c r="R9" s="4"/>
      <c r="S9" s="4"/>
    </row>
    <row r="10" spans="1:19" x14ac:dyDescent="0.25">
      <c r="B10" t="s">
        <v>2</v>
      </c>
      <c r="C10">
        <v>1200</v>
      </c>
      <c r="D10">
        <v>1200</v>
      </c>
      <c r="F10" t="s">
        <v>30</v>
      </c>
      <c r="G10" s="2">
        <f>S4</f>
        <v>2400000</v>
      </c>
      <c r="H10" s="5"/>
      <c r="M10" s="5" t="s">
        <v>35</v>
      </c>
      <c r="N10" s="2">
        <f>(C5+C11)*D10</f>
        <v>2580000</v>
      </c>
      <c r="P10" t="s">
        <v>35</v>
      </c>
      <c r="Q10" s="2">
        <f>N10</f>
        <v>2580000</v>
      </c>
      <c r="R10" s="5" t="s">
        <v>38</v>
      </c>
      <c r="S10" s="2">
        <f>(C5+C11)*D16</f>
        <v>2150000</v>
      </c>
    </row>
    <row r="11" spans="1:19" x14ac:dyDescent="0.25">
      <c r="B11" t="s">
        <v>3</v>
      </c>
      <c r="C11" s="1">
        <v>150</v>
      </c>
      <c r="D11" s="1">
        <v>200000</v>
      </c>
      <c r="E11" s="2"/>
      <c r="F11" s="4"/>
      <c r="G11" s="4" t="s">
        <v>31</v>
      </c>
      <c r="H11" s="4"/>
      <c r="I11" s="4"/>
      <c r="M11" s="6" t="s">
        <v>37</v>
      </c>
      <c r="N11" s="2">
        <f>C12</f>
        <v>2500000</v>
      </c>
      <c r="R11" s="6"/>
    </row>
    <row r="12" spans="1:19" x14ac:dyDescent="0.25">
      <c r="B12" t="s">
        <v>4</v>
      </c>
      <c r="C12" s="1">
        <v>2500000</v>
      </c>
      <c r="D12" s="1">
        <v>2400000</v>
      </c>
      <c r="F12" t="s">
        <v>33</v>
      </c>
      <c r="G12" s="2">
        <f>D11</f>
        <v>200000</v>
      </c>
      <c r="H12" s="6"/>
      <c r="M12" s="6"/>
      <c r="R12" s="6"/>
    </row>
    <row r="13" spans="1:19" x14ac:dyDescent="0.25">
      <c r="D13" s="2">
        <f>D11/D10</f>
        <v>166.66666666666666</v>
      </c>
      <c r="F13" t="s">
        <v>34</v>
      </c>
      <c r="G13" s="2">
        <f>D12</f>
        <v>2400000</v>
      </c>
      <c r="H13" s="6"/>
      <c r="I13" s="10" t="s">
        <v>25</v>
      </c>
      <c r="J13" s="9">
        <f>(N10+N11)-(G10+G12+G13)</f>
        <v>80000</v>
      </c>
      <c r="K13" s="8"/>
      <c r="M13" s="6"/>
      <c r="R13" s="6"/>
    </row>
    <row r="15" spans="1:19" x14ac:dyDescent="0.25">
      <c r="A15" t="s">
        <v>22</v>
      </c>
      <c r="F15" s="4"/>
      <c r="G15" s="4" t="s">
        <v>39</v>
      </c>
      <c r="H15" s="4"/>
      <c r="I15" s="4"/>
      <c r="K15" s="4"/>
      <c r="L15" s="4" t="s">
        <v>24</v>
      </c>
      <c r="M15" s="4"/>
      <c r="N15" s="4"/>
      <c r="P15" s="4"/>
      <c r="Q15" s="4" t="s">
        <v>43</v>
      </c>
      <c r="R15" s="4"/>
      <c r="S15" s="4"/>
    </row>
    <row r="16" spans="1:19" x14ac:dyDescent="0.25">
      <c r="B16" t="s">
        <v>2</v>
      </c>
      <c r="C16">
        <v>1000</v>
      </c>
      <c r="D16">
        <v>1000</v>
      </c>
      <c r="F16" t="s">
        <v>38</v>
      </c>
      <c r="G16" s="2">
        <f>S10</f>
        <v>2150000</v>
      </c>
      <c r="H16" s="5"/>
      <c r="M16" s="5" t="s">
        <v>42</v>
      </c>
      <c r="N16" s="2">
        <f>(C5+C11+C17)*D16</f>
        <v>9150000</v>
      </c>
      <c r="P16" t="s">
        <v>42</v>
      </c>
      <c r="Q16" s="2">
        <f>N16</f>
        <v>9150000</v>
      </c>
      <c r="R16" s="5" t="s">
        <v>47</v>
      </c>
      <c r="S16" s="2">
        <f>850*(C5+C11+C17)</f>
        <v>7777500</v>
      </c>
    </row>
    <row r="17" spans="1:19" x14ac:dyDescent="0.25">
      <c r="B17" t="s">
        <v>3</v>
      </c>
      <c r="C17" s="1">
        <v>7000</v>
      </c>
      <c r="D17" s="1">
        <v>7200000</v>
      </c>
      <c r="F17" t="s">
        <v>40</v>
      </c>
      <c r="G17" s="2">
        <f>D17</f>
        <v>7200000</v>
      </c>
      <c r="H17" s="6"/>
      <c r="M17" s="6" t="s">
        <v>44</v>
      </c>
      <c r="N17" s="2">
        <f>C18</f>
        <v>1200000</v>
      </c>
      <c r="R17" s="6"/>
    </row>
    <row r="18" spans="1:19" x14ac:dyDescent="0.25">
      <c r="B18" t="s">
        <v>4</v>
      </c>
      <c r="C18" s="1">
        <v>1200000</v>
      </c>
      <c r="D18" s="1">
        <v>1220000</v>
      </c>
      <c r="F18" t="s">
        <v>41</v>
      </c>
      <c r="G18" s="2">
        <f>D18</f>
        <v>1220000</v>
      </c>
      <c r="H18" s="6"/>
      <c r="M18" s="6"/>
      <c r="R18" s="6"/>
    </row>
    <row r="19" spans="1:19" x14ac:dyDescent="0.25">
      <c r="D19" s="2">
        <f>D17/D16</f>
        <v>7200</v>
      </c>
      <c r="H19" s="6"/>
      <c r="I19" s="10" t="s">
        <v>25</v>
      </c>
      <c r="J19" s="9">
        <f>(N16+N17)-(G16+G17+G18)</f>
        <v>-220000</v>
      </c>
      <c r="K19" s="8"/>
      <c r="M19" s="6"/>
      <c r="R19" s="6"/>
    </row>
    <row r="20" spans="1:19" ht="6.75" customHeight="1" x14ac:dyDescent="0.25"/>
    <row r="21" spans="1:19" x14ac:dyDescent="0.25">
      <c r="F21" s="4"/>
      <c r="G21" s="4"/>
      <c r="H21" s="4"/>
      <c r="I21" s="4"/>
      <c r="K21" s="4"/>
      <c r="L21" s="4"/>
      <c r="M21" s="4"/>
      <c r="N21" s="4"/>
      <c r="P21" s="4"/>
      <c r="Q21" s="12" t="s">
        <v>27</v>
      </c>
      <c r="R21" s="12"/>
      <c r="S21" s="4"/>
    </row>
    <row r="22" spans="1:19" x14ac:dyDescent="0.25">
      <c r="H22" s="5"/>
      <c r="M22" s="5"/>
      <c r="P22" t="s">
        <v>18</v>
      </c>
      <c r="Q22" s="2">
        <f>N4</f>
        <v>2000000</v>
      </c>
      <c r="R22" s="5" t="s">
        <v>46</v>
      </c>
      <c r="S22" s="1">
        <f>20000*850</f>
        <v>17000000</v>
      </c>
    </row>
    <row r="23" spans="1:19" x14ac:dyDescent="0.25">
      <c r="A23" s="13" t="s">
        <v>45</v>
      </c>
      <c r="B23" s="13"/>
      <c r="C23" s="13"/>
      <c r="H23" s="6"/>
      <c r="M23" s="6"/>
      <c r="P23" t="s">
        <v>37</v>
      </c>
      <c r="Q23" s="2">
        <f>N11</f>
        <v>2500000</v>
      </c>
      <c r="R23" s="6"/>
    </row>
    <row r="24" spans="1:19" x14ac:dyDescent="0.25">
      <c r="H24" s="6"/>
      <c r="M24" s="6"/>
      <c r="P24" t="s">
        <v>44</v>
      </c>
      <c r="Q24" s="2">
        <f>N17</f>
        <v>1200000</v>
      </c>
      <c r="R24" s="6"/>
    </row>
    <row r="25" spans="1:19" x14ac:dyDescent="0.25">
      <c r="H25" s="6"/>
      <c r="M25" s="6"/>
      <c r="P25" t="s">
        <v>47</v>
      </c>
      <c r="Q25" s="2">
        <f>S16</f>
        <v>7777500</v>
      </c>
      <c r="R25" s="6"/>
    </row>
    <row r="26" spans="1:19" ht="6" customHeight="1" x14ac:dyDescent="0.25"/>
    <row r="27" spans="1:19" x14ac:dyDescent="0.25">
      <c r="N27" s="14" t="s">
        <v>49</v>
      </c>
      <c r="O27" s="14"/>
      <c r="P27" s="14"/>
      <c r="Q27" s="2">
        <f>S22-(Q22+Q23+Q24+Q25)</f>
        <v>3522500</v>
      </c>
    </row>
    <row r="28" spans="1:19" x14ac:dyDescent="0.25">
      <c r="N28" s="14" t="s">
        <v>50</v>
      </c>
      <c r="O28" s="14"/>
      <c r="P28" s="14"/>
      <c r="Q28" s="2">
        <f>J7+J13+J19</f>
        <v>-90000</v>
      </c>
    </row>
    <row r="29" spans="1:19" x14ac:dyDescent="0.25">
      <c r="N29" s="14" t="s">
        <v>51</v>
      </c>
      <c r="O29" s="14"/>
      <c r="P29" s="14"/>
      <c r="Q29" s="2">
        <f>Q27+Q28</f>
        <v>3432500</v>
      </c>
    </row>
  </sheetData>
  <mergeCells count="7">
    <mergeCell ref="N29:P29"/>
    <mergeCell ref="J7:K7"/>
    <mergeCell ref="Q21:R21"/>
    <mergeCell ref="J13:K13"/>
    <mergeCell ref="N27:P27"/>
    <mergeCell ref="N28:P28"/>
    <mergeCell ref="J19:K1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D37E9-4508-4F4D-8DE1-7FD501A08FD4}">
  <dimension ref="A1:S28"/>
  <sheetViews>
    <sheetView zoomScale="160" zoomScaleNormal="160" workbookViewId="0">
      <selection activeCell="S17" sqref="S17"/>
    </sheetView>
  </sheetViews>
  <sheetFormatPr defaultRowHeight="15" x14ac:dyDescent="0.25"/>
  <cols>
    <col min="1" max="1" width="6.7109375" customWidth="1"/>
    <col min="3" max="4" width="15.42578125" bestFit="1" customWidth="1"/>
    <col min="5" max="5" width="2.42578125" customWidth="1"/>
    <col min="6" max="6" width="3.28515625" customWidth="1"/>
    <col min="7" max="7" width="15.7109375" bestFit="1" customWidth="1"/>
    <col min="8" max="8" width="2.7109375" customWidth="1"/>
    <col min="10" max="10" width="6.5703125" customWidth="1"/>
    <col min="12" max="12" width="3" customWidth="1"/>
    <col min="13" max="13" width="3.7109375" customWidth="1"/>
    <col min="14" max="14" width="15.7109375" bestFit="1" customWidth="1"/>
    <col min="15" max="15" width="2.28515625" customWidth="1"/>
    <col min="16" max="16" width="3.5703125" customWidth="1"/>
    <col min="17" max="17" width="15.7109375" bestFit="1" customWidth="1"/>
    <col min="18" max="18" width="3.7109375" customWidth="1"/>
    <col min="19" max="19" width="16.7109375" bestFit="1" customWidth="1"/>
  </cols>
  <sheetData>
    <row r="1" spans="1:19" x14ac:dyDescent="0.25">
      <c r="A1" t="s">
        <v>0</v>
      </c>
      <c r="I1" s="8" t="s">
        <v>52</v>
      </c>
      <c r="J1" s="8"/>
      <c r="K1" s="8"/>
      <c r="L1" s="8"/>
      <c r="M1" s="8"/>
      <c r="N1" s="8"/>
      <c r="O1" s="8"/>
      <c r="P1" s="8"/>
      <c r="Q1" s="8"/>
    </row>
    <row r="3" spans="1:19" x14ac:dyDescent="0.25">
      <c r="A3" t="s">
        <v>1</v>
      </c>
      <c r="C3" s="3" t="s">
        <v>7</v>
      </c>
      <c r="D3" s="3" t="s">
        <v>8</v>
      </c>
      <c r="F3" s="4"/>
      <c r="G3" s="4" t="s">
        <v>53</v>
      </c>
      <c r="H3" s="4"/>
      <c r="I3" s="4"/>
      <c r="K3" s="4"/>
      <c r="L3" s="4" t="s">
        <v>56</v>
      </c>
      <c r="M3" s="4"/>
      <c r="N3" s="4"/>
      <c r="P3" s="4"/>
      <c r="Q3" s="4" t="s">
        <v>54</v>
      </c>
      <c r="R3" s="4"/>
      <c r="S3" s="4"/>
    </row>
    <row r="4" spans="1:19" x14ac:dyDescent="0.25">
      <c r="B4" t="s">
        <v>2</v>
      </c>
      <c r="C4">
        <v>1500</v>
      </c>
      <c r="D4">
        <v>1500</v>
      </c>
      <c r="F4" t="s">
        <v>16</v>
      </c>
      <c r="G4" s="2">
        <f>D5</f>
        <v>2900000</v>
      </c>
      <c r="H4" s="5"/>
      <c r="M4" s="5" t="s">
        <v>18</v>
      </c>
      <c r="N4" s="2">
        <f>C5*D4</f>
        <v>3000000</v>
      </c>
      <c r="P4" t="s">
        <v>18</v>
      </c>
      <c r="Q4" s="2">
        <f>N4</f>
        <v>3000000</v>
      </c>
      <c r="R4" s="5" t="s">
        <v>28</v>
      </c>
      <c r="S4" s="2">
        <f>C5*D10</f>
        <v>2400000</v>
      </c>
    </row>
    <row r="5" spans="1:19" x14ac:dyDescent="0.25">
      <c r="B5" t="s">
        <v>3</v>
      </c>
      <c r="C5" s="1">
        <v>2000</v>
      </c>
      <c r="D5" s="1">
        <v>2900000</v>
      </c>
      <c r="E5" s="1"/>
      <c r="F5" t="s">
        <v>17</v>
      </c>
      <c r="G5" s="2">
        <f>D6</f>
        <v>2050000</v>
      </c>
      <c r="H5" s="6"/>
      <c r="M5" s="6"/>
      <c r="R5" s="6"/>
    </row>
    <row r="6" spans="1:19" x14ac:dyDescent="0.25">
      <c r="B6" t="s">
        <v>4</v>
      </c>
      <c r="C6" s="1">
        <v>2000000</v>
      </c>
      <c r="D6" s="1">
        <v>2050000</v>
      </c>
      <c r="H6" s="6"/>
      <c r="M6" s="6"/>
      <c r="R6" s="6"/>
    </row>
    <row r="7" spans="1:19" x14ac:dyDescent="0.25">
      <c r="H7" s="6"/>
      <c r="I7" s="10" t="s">
        <v>25</v>
      </c>
      <c r="J7" s="9">
        <f>N4-(G4+G5)</f>
        <v>-1950000</v>
      </c>
      <c r="K7" s="8"/>
      <c r="M7" s="6"/>
      <c r="R7" s="6"/>
    </row>
    <row r="9" spans="1:19" x14ac:dyDescent="0.25">
      <c r="A9" t="s">
        <v>5</v>
      </c>
      <c r="F9" s="4"/>
      <c r="G9" s="4" t="s">
        <v>55</v>
      </c>
      <c r="H9" s="4"/>
      <c r="I9" s="4"/>
      <c r="K9" s="4"/>
      <c r="L9" s="4" t="s">
        <v>57</v>
      </c>
      <c r="M9" s="4"/>
      <c r="N9" s="4"/>
      <c r="P9" s="4"/>
      <c r="Q9" s="4" t="s">
        <v>58</v>
      </c>
      <c r="R9" s="4"/>
      <c r="S9" s="4"/>
    </row>
    <row r="10" spans="1:19" x14ac:dyDescent="0.25">
      <c r="B10" t="s">
        <v>2</v>
      </c>
      <c r="C10">
        <v>1200</v>
      </c>
      <c r="D10">
        <v>1200</v>
      </c>
      <c r="F10" t="s">
        <v>28</v>
      </c>
      <c r="G10" s="2">
        <f>S4</f>
        <v>2400000</v>
      </c>
      <c r="H10" s="5"/>
      <c r="M10" s="5" t="s">
        <v>34</v>
      </c>
      <c r="N10" s="2">
        <f>(C5+C11)*D10</f>
        <v>2580000</v>
      </c>
      <c r="P10" t="s">
        <v>34</v>
      </c>
      <c r="Q10" s="2">
        <f>N10</f>
        <v>2580000</v>
      </c>
      <c r="R10" s="5" t="s">
        <v>35</v>
      </c>
      <c r="S10" s="2">
        <f>(C5+C11)*D16</f>
        <v>2150000</v>
      </c>
    </row>
    <row r="11" spans="1:19" x14ac:dyDescent="0.25">
      <c r="B11" t="s">
        <v>3</v>
      </c>
      <c r="C11" s="1">
        <v>150</v>
      </c>
      <c r="D11" s="1">
        <v>200000</v>
      </c>
      <c r="E11" s="2"/>
      <c r="F11" t="s">
        <v>30</v>
      </c>
      <c r="G11" s="2">
        <f>D11</f>
        <v>200000</v>
      </c>
      <c r="H11" s="6"/>
      <c r="M11" s="6"/>
      <c r="R11" s="6"/>
    </row>
    <row r="12" spans="1:19" x14ac:dyDescent="0.25">
      <c r="B12" t="s">
        <v>4</v>
      </c>
      <c r="C12" s="1">
        <v>2500000</v>
      </c>
      <c r="D12" s="1">
        <v>2400000</v>
      </c>
      <c r="F12" t="s">
        <v>33</v>
      </c>
      <c r="G12" s="2">
        <f>D12</f>
        <v>2400000</v>
      </c>
      <c r="H12" s="6"/>
      <c r="M12" s="6"/>
      <c r="R12" s="6"/>
    </row>
    <row r="13" spans="1:19" x14ac:dyDescent="0.25">
      <c r="H13" s="6"/>
      <c r="I13" s="10" t="s">
        <v>25</v>
      </c>
      <c r="J13" s="9">
        <f>N10-(G10+G11+G12)</f>
        <v>-2420000</v>
      </c>
      <c r="K13" s="8"/>
      <c r="M13" s="6"/>
      <c r="R13" s="6"/>
    </row>
    <row r="15" spans="1:19" x14ac:dyDescent="0.25">
      <c r="A15" t="s">
        <v>6</v>
      </c>
      <c r="F15" s="4"/>
      <c r="G15" s="4" t="s">
        <v>59</v>
      </c>
      <c r="H15" s="4"/>
      <c r="I15" s="4"/>
      <c r="K15" s="4"/>
      <c r="L15" s="4" t="s">
        <v>60</v>
      </c>
      <c r="M15" s="4"/>
      <c r="N15" s="4"/>
      <c r="P15" s="4"/>
      <c r="Q15" s="4" t="s">
        <v>61</v>
      </c>
      <c r="R15" s="4"/>
      <c r="S15" s="4"/>
    </row>
    <row r="16" spans="1:19" x14ac:dyDescent="0.25">
      <c r="B16" t="s">
        <v>2</v>
      </c>
      <c r="C16">
        <v>1000</v>
      </c>
      <c r="D16">
        <v>1000</v>
      </c>
      <c r="F16" t="s">
        <v>35</v>
      </c>
      <c r="G16" s="2">
        <f>S10</f>
        <v>2150000</v>
      </c>
      <c r="H16" s="5"/>
      <c r="M16" s="5" t="s">
        <v>40</v>
      </c>
      <c r="N16" s="2">
        <f>(C5+C11+C17)*D16</f>
        <v>9150000</v>
      </c>
      <c r="P16" t="s">
        <v>40</v>
      </c>
      <c r="Q16" s="2">
        <f>N16</f>
        <v>9150000</v>
      </c>
      <c r="R16" s="5" t="s">
        <v>44</v>
      </c>
      <c r="S16" s="2">
        <f>(C5+C11+C17)*850</f>
        <v>7777500</v>
      </c>
    </row>
    <row r="17" spans="1:19" x14ac:dyDescent="0.25">
      <c r="B17" t="s">
        <v>3</v>
      </c>
      <c r="C17" s="1">
        <v>7000</v>
      </c>
      <c r="D17" s="1">
        <v>7200000</v>
      </c>
      <c r="F17" t="s">
        <v>37</v>
      </c>
      <c r="G17" s="2">
        <f>D17</f>
        <v>7200000</v>
      </c>
      <c r="H17" s="6"/>
      <c r="M17" s="6" t="s">
        <v>41</v>
      </c>
      <c r="N17" s="2">
        <f>C6+C12+C18</f>
        <v>5700000</v>
      </c>
      <c r="R17" s="6"/>
    </row>
    <row r="18" spans="1:19" x14ac:dyDescent="0.25">
      <c r="B18" t="s">
        <v>4</v>
      </c>
      <c r="C18" s="1">
        <v>1200000</v>
      </c>
      <c r="D18" s="1">
        <v>1220000</v>
      </c>
      <c r="F18" t="s">
        <v>38</v>
      </c>
      <c r="G18" s="2">
        <f>D18</f>
        <v>1220000</v>
      </c>
      <c r="H18" s="6"/>
      <c r="M18" s="6"/>
      <c r="R18" s="6"/>
    </row>
    <row r="19" spans="1:19" x14ac:dyDescent="0.25">
      <c r="H19" s="6"/>
      <c r="I19" s="10" t="s">
        <v>25</v>
      </c>
      <c r="J19" s="9">
        <f>(N16+N17)-(G16+G17+G18)</f>
        <v>4280000</v>
      </c>
      <c r="K19" s="8"/>
      <c r="M19" s="6"/>
      <c r="R19" s="6"/>
    </row>
    <row r="20" spans="1:19" ht="7.5" customHeight="1" x14ac:dyDescent="0.25"/>
    <row r="21" spans="1:19" x14ac:dyDescent="0.25">
      <c r="F21" s="4"/>
      <c r="G21" s="4"/>
      <c r="H21" s="4"/>
      <c r="I21" s="4"/>
      <c r="K21" s="4"/>
      <c r="L21" s="4"/>
      <c r="M21" s="4"/>
      <c r="N21" s="4"/>
      <c r="P21" s="4"/>
      <c r="Q21" s="4" t="s">
        <v>27</v>
      </c>
      <c r="R21" s="4"/>
      <c r="S21" s="4"/>
    </row>
    <row r="22" spans="1:19" x14ac:dyDescent="0.25">
      <c r="H22" s="5"/>
      <c r="M22" s="5"/>
      <c r="P22" t="s">
        <v>41</v>
      </c>
      <c r="Q22" s="2">
        <f>N17</f>
        <v>5700000</v>
      </c>
      <c r="R22" s="5" t="s">
        <v>42</v>
      </c>
      <c r="S22" s="1">
        <f>20000*850</f>
        <v>17000000</v>
      </c>
    </row>
    <row r="23" spans="1:19" x14ac:dyDescent="0.25">
      <c r="A23" s="13" t="s">
        <v>45</v>
      </c>
      <c r="B23" s="13"/>
      <c r="C23" s="13"/>
      <c r="H23" s="6"/>
      <c r="M23" s="6"/>
      <c r="P23" t="s">
        <v>44</v>
      </c>
      <c r="Q23" s="2">
        <f>S16</f>
        <v>7777500</v>
      </c>
      <c r="R23" s="6"/>
    </row>
    <row r="24" spans="1:19" x14ac:dyDescent="0.25">
      <c r="H24" s="6"/>
      <c r="M24" s="6"/>
      <c r="R24" s="6"/>
    </row>
    <row r="25" spans="1:19" ht="6.75" customHeight="1" x14ac:dyDescent="0.25">
      <c r="H25" s="6"/>
      <c r="M25" s="6"/>
      <c r="R25" s="6"/>
    </row>
    <row r="26" spans="1:19" x14ac:dyDescent="0.25">
      <c r="N26" s="8" t="s">
        <v>48</v>
      </c>
      <c r="O26" s="8"/>
      <c r="P26" s="8"/>
      <c r="Q26" s="2">
        <f>S22-Q22-Q23</f>
        <v>3522500</v>
      </c>
    </row>
    <row r="27" spans="1:19" x14ac:dyDescent="0.25">
      <c r="N27" s="8" t="s">
        <v>62</v>
      </c>
      <c r="O27" s="8"/>
      <c r="P27" s="8"/>
      <c r="Q27" s="2">
        <f>J7+J13+J19</f>
        <v>-90000</v>
      </c>
    </row>
    <row r="28" spans="1:19" x14ac:dyDescent="0.25">
      <c r="N28" s="8" t="s">
        <v>63</v>
      </c>
      <c r="O28" s="8"/>
      <c r="P28" s="8"/>
      <c r="Q28" s="2">
        <f>Q26+Q27</f>
        <v>3432500</v>
      </c>
    </row>
  </sheetData>
  <mergeCells count="7">
    <mergeCell ref="N27:P27"/>
    <mergeCell ref="N28:P28"/>
    <mergeCell ref="J7:K7"/>
    <mergeCell ref="I1:Q1"/>
    <mergeCell ref="J13:K13"/>
    <mergeCell ref="J19:K19"/>
    <mergeCell ref="N26:P2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E1FBD-BF30-4B31-87B1-08BBBB4B3021}">
  <dimension ref="B2:J27"/>
  <sheetViews>
    <sheetView topLeftCell="A2" zoomScale="160" zoomScaleNormal="160" workbookViewId="0">
      <selection activeCell="I20" sqref="I20:J20"/>
    </sheetView>
  </sheetViews>
  <sheetFormatPr defaultRowHeight="15" x14ac:dyDescent="0.25"/>
  <cols>
    <col min="3" max="5" width="16.42578125" bestFit="1" customWidth="1"/>
    <col min="6" max="6" width="19.28515625" customWidth="1"/>
    <col min="7" max="7" width="12.42578125" bestFit="1" customWidth="1"/>
    <col min="8" max="10" width="15.7109375" bestFit="1" customWidth="1"/>
  </cols>
  <sheetData>
    <row r="2" spans="2:10" x14ac:dyDescent="0.25">
      <c r="B2" t="s">
        <v>9</v>
      </c>
      <c r="C2" s="1">
        <v>15000</v>
      </c>
      <c r="G2" t="s">
        <v>71</v>
      </c>
      <c r="H2">
        <v>1</v>
      </c>
      <c r="I2">
        <v>2</v>
      </c>
      <c r="J2">
        <v>3</v>
      </c>
    </row>
    <row r="3" spans="2:10" x14ac:dyDescent="0.25">
      <c r="B3" t="s">
        <v>3</v>
      </c>
      <c r="C3" s="1">
        <v>9000</v>
      </c>
      <c r="D3" s="7" t="s">
        <v>15</v>
      </c>
      <c r="E3" s="7"/>
      <c r="G3" t="s">
        <v>72</v>
      </c>
      <c r="H3" s="2">
        <f>$C$2*C8</f>
        <v>7500000</v>
      </c>
      <c r="I3" s="2">
        <f t="shared" ref="I3:J3" si="0">$C$2*D8</f>
        <v>6000000</v>
      </c>
      <c r="J3" s="2">
        <f t="shared" si="0"/>
        <v>9000000</v>
      </c>
    </row>
    <row r="4" spans="2:10" x14ac:dyDescent="0.25">
      <c r="B4" t="s">
        <v>4</v>
      </c>
      <c r="C4" s="1">
        <v>2600000</v>
      </c>
      <c r="D4" s="7" t="s">
        <v>14</v>
      </c>
      <c r="E4" s="7"/>
      <c r="F4" s="2"/>
      <c r="G4" t="s">
        <v>73</v>
      </c>
      <c r="H4" s="2">
        <f>$C$3*C7</f>
        <v>4500000</v>
      </c>
      <c r="I4" s="2">
        <f t="shared" ref="I4:J4" si="1">$C$3*D7</f>
        <v>4500000</v>
      </c>
      <c r="J4" s="2">
        <f t="shared" si="1"/>
        <v>4500000</v>
      </c>
    </row>
    <row r="5" spans="2:10" x14ac:dyDescent="0.25">
      <c r="G5" t="s">
        <v>74</v>
      </c>
      <c r="H5" s="1">
        <f>800000</f>
        <v>800000</v>
      </c>
      <c r="I5" s="1">
        <f>800000</f>
        <v>800000</v>
      </c>
      <c r="J5" s="1">
        <f>800000</f>
        <v>800000</v>
      </c>
    </row>
    <row r="6" spans="2:10" x14ac:dyDescent="0.25">
      <c r="C6" t="s">
        <v>16</v>
      </c>
      <c r="D6" t="s">
        <v>17</v>
      </c>
      <c r="E6" t="s">
        <v>18</v>
      </c>
      <c r="G6" t="s">
        <v>75</v>
      </c>
      <c r="H6" s="2">
        <f>H3-H4-H5</f>
        <v>2200000</v>
      </c>
      <c r="I6" s="2">
        <f t="shared" ref="I6:J6" si="2">I3-I4-I5</f>
        <v>700000</v>
      </c>
      <c r="J6" s="2">
        <f t="shared" si="2"/>
        <v>3700000</v>
      </c>
    </row>
    <row r="7" spans="2:10" x14ac:dyDescent="0.25">
      <c r="B7" t="s">
        <v>10</v>
      </c>
      <c r="C7">
        <v>500</v>
      </c>
      <c r="D7">
        <v>500</v>
      </c>
      <c r="E7">
        <v>500</v>
      </c>
    </row>
    <row r="8" spans="2:10" x14ac:dyDescent="0.25">
      <c r="B8" t="s">
        <v>11</v>
      </c>
      <c r="C8">
        <v>500</v>
      </c>
      <c r="D8">
        <v>400</v>
      </c>
      <c r="E8">
        <v>600</v>
      </c>
      <c r="G8" t="s">
        <v>77</v>
      </c>
    </row>
    <row r="9" spans="2:10" x14ac:dyDescent="0.25">
      <c r="G9" t="s">
        <v>76</v>
      </c>
      <c r="H9" s="2">
        <f>C15</f>
        <v>400000</v>
      </c>
      <c r="I9" s="2">
        <f t="shared" ref="I9:J9" si="3">D15</f>
        <v>320000</v>
      </c>
      <c r="J9" s="2">
        <f t="shared" si="3"/>
        <v>480000</v>
      </c>
    </row>
    <row r="10" spans="2:10" x14ac:dyDescent="0.25">
      <c r="C10" s="1"/>
      <c r="D10" s="1"/>
      <c r="E10" s="1"/>
      <c r="G10" t="s">
        <v>78</v>
      </c>
      <c r="H10" s="1">
        <f>1800000</f>
        <v>1800000</v>
      </c>
      <c r="I10" s="1">
        <f>1800000</f>
        <v>1800000</v>
      </c>
      <c r="J10" s="1">
        <f>1800000</f>
        <v>1800000</v>
      </c>
    </row>
    <row r="11" spans="2:10" x14ac:dyDescent="0.25">
      <c r="B11" t="s">
        <v>13</v>
      </c>
      <c r="C11" s="1">
        <f>C3+C4/$C$7</f>
        <v>14200</v>
      </c>
      <c r="D11" s="1"/>
      <c r="E11" s="1"/>
      <c r="G11" t="s">
        <v>79</v>
      </c>
      <c r="H11" s="15">
        <f>(C7-C8)*$C$11</f>
        <v>0</v>
      </c>
      <c r="I11" s="15">
        <f t="shared" ref="I11:J11" si="4">(D7-D8)*$C$11</f>
        <v>1420000</v>
      </c>
      <c r="J11" s="15">
        <f t="shared" si="4"/>
        <v>-1420000</v>
      </c>
    </row>
    <row r="12" spans="2:10" x14ac:dyDescent="0.25">
      <c r="C12" s="2"/>
      <c r="D12" s="2"/>
      <c r="E12" s="2"/>
      <c r="F12" t="s">
        <v>68</v>
      </c>
      <c r="G12" t="s">
        <v>75</v>
      </c>
      <c r="H12" s="2">
        <f>H9+H10-H11</f>
        <v>2200000</v>
      </c>
      <c r="I12" s="2">
        <f t="shared" ref="I12:J12" si="5">I9+I10-I11</f>
        <v>700000</v>
      </c>
      <c r="J12" s="2">
        <f t="shared" si="5"/>
        <v>3700000</v>
      </c>
    </row>
    <row r="13" spans="2:10" x14ac:dyDescent="0.25">
      <c r="B13" t="s">
        <v>64</v>
      </c>
      <c r="C13" s="2">
        <f>C8*$C$2</f>
        <v>7500000</v>
      </c>
      <c r="D13" s="15">
        <f t="shared" ref="D13:E13" si="6">D8*$C$2</f>
        <v>6000000</v>
      </c>
      <c r="E13" s="2">
        <f t="shared" si="6"/>
        <v>9000000</v>
      </c>
      <c r="F13" s="2">
        <f>SUM(C13:E13)</f>
        <v>22500000</v>
      </c>
    </row>
    <row r="14" spans="2:10" x14ac:dyDescent="0.25">
      <c r="B14" t="s">
        <v>69</v>
      </c>
      <c r="C14" s="2">
        <f>$C$11*C8</f>
        <v>7100000</v>
      </c>
      <c r="D14" s="15">
        <f>$C$11*D8</f>
        <v>5680000</v>
      </c>
      <c r="E14" s="2">
        <f>$C$11*E8</f>
        <v>8520000</v>
      </c>
      <c r="F14" s="2">
        <f>SUM(C14:E14)</f>
        <v>21300000</v>
      </c>
      <c r="G14" t="s">
        <v>80</v>
      </c>
    </row>
    <row r="15" spans="2:10" x14ac:dyDescent="0.25">
      <c r="B15" t="s">
        <v>67</v>
      </c>
      <c r="C15" s="2">
        <f>C13-C14</f>
        <v>400000</v>
      </c>
      <c r="D15" s="16">
        <f t="shared" ref="D15:E15" si="7">D13-D14</f>
        <v>320000</v>
      </c>
      <c r="E15" s="2">
        <f t="shared" si="7"/>
        <v>480000</v>
      </c>
      <c r="F15" s="2">
        <f>SUM(C15:E15)</f>
        <v>1200000</v>
      </c>
      <c r="G15" t="s">
        <v>76</v>
      </c>
      <c r="H15" s="2">
        <f>C24</f>
        <v>400000</v>
      </c>
      <c r="I15" s="2">
        <f t="shared" ref="I15:J15" si="8">D24</f>
        <v>-200000</v>
      </c>
      <c r="J15" s="2">
        <f t="shared" si="8"/>
        <v>1000000</v>
      </c>
    </row>
    <row r="16" spans="2:10" x14ac:dyDescent="0.25">
      <c r="G16" t="s">
        <v>78</v>
      </c>
      <c r="H16" s="1">
        <f>1800000</f>
        <v>1800000</v>
      </c>
      <c r="I16" s="1">
        <f>1800000</f>
        <v>1800000</v>
      </c>
      <c r="J16" s="1">
        <f>1800000</f>
        <v>1800000</v>
      </c>
    </row>
    <row r="17" spans="2:10" x14ac:dyDescent="0.25">
      <c r="G17" t="s">
        <v>79</v>
      </c>
      <c r="H17" s="2">
        <f>(C7-C8)*$C$18</f>
        <v>0</v>
      </c>
      <c r="I17" s="2">
        <f t="shared" ref="I17:J17" si="9">(D7-D8)*$C$18</f>
        <v>900000</v>
      </c>
      <c r="J17" s="2">
        <f t="shared" si="9"/>
        <v>-900000</v>
      </c>
    </row>
    <row r="18" spans="2:10" x14ac:dyDescent="0.25">
      <c r="B18" t="s">
        <v>12</v>
      </c>
      <c r="C18" s="2">
        <f>C3</f>
        <v>9000</v>
      </c>
      <c r="D18" t="s">
        <v>70</v>
      </c>
      <c r="E18" s="2"/>
      <c r="G18" t="s">
        <v>75</v>
      </c>
      <c r="H18" s="2">
        <f>H15+H16-H17</f>
        <v>2200000</v>
      </c>
      <c r="I18" s="2">
        <f t="shared" ref="I18:J18" si="10">I15+I16-I17</f>
        <v>700000</v>
      </c>
      <c r="J18" s="2">
        <f t="shared" si="10"/>
        <v>3700000</v>
      </c>
    </row>
    <row r="20" spans="2:10" x14ac:dyDescent="0.25">
      <c r="B20" t="s">
        <v>64</v>
      </c>
      <c r="C20" s="2">
        <f>$C$2*C8</f>
        <v>7500000</v>
      </c>
      <c r="D20" s="15">
        <f t="shared" ref="D20:E20" si="11">$C$2*D8</f>
        <v>6000000</v>
      </c>
      <c r="E20" s="2">
        <f t="shared" si="11"/>
        <v>9000000</v>
      </c>
      <c r="F20" s="2">
        <f>SUM(C20:E20)</f>
        <v>22500000</v>
      </c>
      <c r="I20" s="2">
        <f>I11-I17</f>
        <v>520000</v>
      </c>
      <c r="J20" s="2">
        <f>J11-J17</f>
        <v>-520000</v>
      </c>
    </row>
    <row r="21" spans="2:10" x14ac:dyDescent="0.25">
      <c r="B21" t="s">
        <v>65</v>
      </c>
      <c r="C21" s="2">
        <f>$C$18*C8</f>
        <v>4500000</v>
      </c>
      <c r="D21" s="15">
        <f t="shared" ref="D21:E21" si="12">$C$18*D8</f>
        <v>3600000</v>
      </c>
      <c r="E21" s="2">
        <f t="shared" si="12"/>
        <v>5400000</v>
      </c>
      <c r="F21" s="2">
        <f t="shared" ref="F21:F24" si="13">SUM(C21:E21)</f>
        <v>13500000</v>
      </c>
    </row>
    <row r="22" spans="2:10" x14ac:dyDescent="0.25">
      <c r="B22" t="s">
        <v>66</v>
      </c>
      <c r="C22" s="2">
        <f>C20-C21</f>
        <v>3000000</v>
      </c>
      <c r="D22" s="15">
        <f t="shared" ref="D22:E22" si="14">D20-D21</f>
        <v>2400000</v>
      </c>
      <c r="E22" s="2">
        <f t="shared" si="14"/>
        <v>3600000</v>
      </c>
      <c r="F22" s="2">
        <f t="shared" si="13"/>
        <v>9000000</v>
      </c>
    </row>
    <row r="23" spans="2:10" x14ac:dyDescent="0.25">
      <c r="B23" t="s">
        <v>4</v>
      </c>
      <c r="C23" s="2">
        <f>$C$4</f>
        <v>2600000</v>
      </c>
      <c r="D23" s="15">
        <f t="shared" ref="D23:E23" si="15">$C$4</f>
        <v>2600000</v>
      </c>
      <c r="E23" s="2">
        <f t="shared" si="15"/>
        <v>2600000</v>
      </c>
      <c r="F23" s="2">
        <f t="shared" si="13"/>
        <v>7800000</v>
      </c>
    </row>
    <row r="24" spans="2:10" x14ac:dyDescent="0.25">
      <c r="B24" t="s">
        <v>67</v>
      </c>
      <c r="C24" s="2">
        <f>C22-C23</f>
        <v>400000</v>
      </c>
      <c r="D24" s="16">
        <f t="shared" ref="D24:E24" si="16">D22-D23</f>
        <v>-200000</v>
      </c>
      <c r="E24" s="2">
        <f t="shared" si="16"/>
        <v>1000000</v>
      </c>
      <c r="F24" s="2">
        <f t="shared" si="13"/>
        <v>1200000</v>
      </c>
    </row>
    <row r="26" spans="2:10" x14ac:dyDescent="0.25">
      <c r="D26" s="2">
        <f>D15-D24</f>
        <v>520000</v>
      </c>
      <c r="E26" s="2">
        <f>E15-E24</f>
        <v>-520000</v>
      </c>
    </row>
    <row r="27" spans="2:10" x14ac:dyDescent="0.25">
      <c r="E27" s="2"/>
    </row>
  </sheetData>
  <mergeCells count="2">
    <mergeCell ref="D4:E4"/>
    <mergeCell ref="D3:E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DEABE-A3D7-46E5-84D0-75CC3DBD0BF4}">
  <dimension ref="A1:F8"/>
  <sheetViews>
    <sheetView zoomScale="170" zoomScaleNormal="170" workbookViewId="0">
      <selection activeCell="F8" sqref="F8"/>
    </sheetView>
  </sheetViews>
  <sheetFormatPr defaultRowHeight="15" x14ac:dyDescent="0.25"/>
  <cols>
    <col min="2" max="2" width="17.42578125" bestFit="1" customWidth="1"/>
    <col min="5" max="6" width="14.7109375" bestFit="1" customWidth="1"/>
  </cols>
  <sheetData>
    <row r="1" spans="1:6" x14ac:dyDescent="0.25">
      <c r="B1" t="s">
        <v>75</v>
      </c>
      <c r="C1" s="18">
        <v>0.05</v>
      </c>
      <c r="D1" s="18">
        <v>0.14000000000000001</v>
      </c>
      <c r="E1" t="s">
        <v>81</v>
      </c>
      <c r="F1" t="s">
        <v>81</v>
      </c>
    </row>
    <row r="2" spans="1:6" x14ac:dyDescent="0.25">
      <c r="A2">
        <v>0</v>
      </c>
      <c r="B2" s="17">
        <v>-20000000</v>
      </c>
      <c r="C2">
        <f>1/((1+$C$1)^A2)</f>
        <v>1</v>
      </c>
      <c r="D2">
        <f>1/((1+$D$1)^A2)</f>
        <v>1</v>
      </c>
      <c r="E2" s="19">
        <f>B2*C2</f>
        <v>-20000000</v>
      </c>
      <c r="F2" s="19">
        <f>B2*D2</f>
        <v>-20000000</v>
      </c>
    </row>
    <row r="3" spans="1:6" x14ac:dyDescent="0.25">
      <c r="A3">
        <v>1</v>
      </c>
      <c r="B3" s="17">
        <v>5000000</v>
      </c>
      <c r="C3">
        <f t="shared" ref="C3:D7" si="0">1/((1+$C$1)^A3)</f>
        <v>0.95238095238095233</v>
      </c>
      <c r="D3">
        <f t="shared" ref="D3:D7" si="1">1/((1+$D$1)^A3)</f>
        <v>0.8771929824561403</v>
      </c>
      <c r="E3" s="19">
        <f t="shared" ref="E3:E7" si="2">B3*C3</f>
        <v>4761904.7619047612</v>
      </c>
      <c r="F3" s="19">
        <f t="shared" ref="F3:F7" si="3">B3*D3</f>
        <v>4385964.9122807011</v>
      </c>
    </row>
    <row r="4" spans="1:6" x14ac:dyDescent="0.25">
      <c r="A4">
        <v>2</v>
      </c>
      <c r="B4" s="17">
        <v>5000000</v>
      </c>
      <c r="C4">
        <f t="shared" si="0"/>
        <v>0.90702947845804982</v>
      </c>
      <c r="D4">
        <f t="shared" si="1"/>
        <v>0.76946752847029842</v>
      </c>
      <c r="E4" s="19">
        <f t="shared" si="2"/>
        <v>4535147.3922902495</v>
      </c>
      <c r="F4" s="19">
        <f t="shared" si="3"/>
        <v>3847337.6423514923</v>
      </c>
    </row>
    <row r="5" spans="1:6" x14ac:dyDescent="0.25">
      <c r="A5">
        <v>3</v>
      </c>
      <c r="B5" s="17">
        <v>5000000</v>
      </c>
      <c r="C5">
        <f t="shared" si="0"/>
        <v>0.86383759853147601</v>
      </c>
      <c r="D5">
        <f t="shared" si="1"/>
        <v>0.67497151620201612</v>
      </c>
      <c r="E5" s="19">
        <f t="shared" si="2"/>
        <v>4319187.9926573802</v>
      </c>
      <c r="F5" s="19">
        <f t="shared" si="3"/>
        <v>3374857.5810100804</v>
      </c>
    </row>
    <row r="6" spans="1:6" x14ac:dyDescent="0.25">
      <c r="A6">
        <v>4</v>
      </c>
      <c r="B6" s="17">
        <v>5000000</v>
      </c>
      <c r="C6">
        <f t="shared" si="0"/>
        <v>0.82270247479188197</v>
      </c>
      <c r="D6">
        <f t="shared" si="1"/>
        <v>0.59208027737018942</v>
      </c>
      <c r="E6" s="19">
        <f t="shared" si="2"/>
        <v>4113512.37395941</v>
      </c>
      <c r="F6" s="19">
        <f t="shared" si="3"/>
        <v>2960401.386850947</v>
      </c>
    </row>
    <row r="7" spans="1:6" x14ac:dyDescent="0.25">
      <c r="A7">
        <v>5</v>
      </c>
      <c r="B7" s="17">
        <v>5000000</v>
      </c>
      <c r="C7">
        <f t="shared" si="0"/>
        <v>0.78352616646845896</v>
      </c>
      <c r="D7">
        <f t="shared" si="1"/>
        <v>0.51936866435981521</v>
      </c>
      <c r="E7" s="19">
        <f t="shared" si="2"/>
        <v>3917630.832342295</v>
      </c>
      <c r="F7" s="19">
        <f t="shared" si="3"/>
        <v>2596843.3217990762</v>
      </c>
    </row>
    <row r="8" spans="1:6" x14ac:dyDescent="0.25">
      <c r="D8" t="s">
        <v>69</v>
      </c>
      <c r="E8" s="19">
        <f>SUM(E2:E7)</f>
        <v>1647383.3531540958</v>
      </c>
      <c r="F8" s="19">
        <f>SUM(F2:F7)</f>
        <v>-2834595.1557077011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7A3A7-A36D-452D-9865-3AB2B67301DD}">
  <dimension ref="B2:F18"/>
  <sheetViews>
    <sheetView tabSelected="1" zoomScale="140" zoomScaleNormal="140" workbookViewId="0">
      <selection activeCell="D15" sqref="D15"/>
    </sheetView>
  </sheetViews>
  <sheetFormatPr defaultRowHeight="15" x14ac:dyDescent="0.25"/>
  <cols>
    <col min="3" max="3" width="17.5703125" bestFit="1" customWidth="1"/>
    <col min="4" max="4" width="12.42578125" bestFit="1" customWidth="1"/>
    <col min="5" max="5" width="10.85546875" bestFit="1" customWidth="1"/>
    <col min="6" max="6" width="12.42578125" bestFit="1" customWidth="1"/>
  </cols>
  <sheetData>
    <row r="2" spans="2:6" x14ac:dyDescent="0.25">
      <c r="B2" t="s">
        <v>2</v>
      </c>
      <c r="C2">
        <v>5000</v>
      </c>
      <c r="F2" t="s">
        <v>65</v>
      </c>
    </row>
    <row r="3" spans="2:6" x14ac:dyDescent="0.25">
      <c r="B3" t="s">
        <v>82</v>
      </c>
      <c r="C3" s="1">
        <v>4200000</v>
      </c>
      <c r="D3" s="2">
        <f>C3/$C$2</f>
        <v>840</v>
      </c>
      <c r="E3" s="2">
        <f>0.2*D3</f>
        <v>168</v>
      </c>
      <c r="F3" s="2">
        <f>D3+E3</f>
        <v>1008</v>
      </c>
    </row>
    <row r="4" spans="2:6" x14ac:dyDescent="0.25">
      <c r="B4" t="s">
        <v>83</v>
      </c>
      <c r="C4" s="1">
        <v>28000</v>
      </c>
      <c r="D4" s="2">
        <f t="shared" ref="D4:D5" si="0">C4/$C$2</f>
        <v>5.6</v>
      </c>
      <c r="E4" s="20"/>
      <c r="F4" s="20">
        <v>5.6</v>
      </c>
    </row>
    <row r="5" spans="2:6" x14ac:dyDescent="0.25">
      <c r="B5" t="s">
        <v>84</v>
      </c>
      <c r="C5" s="1">
        <v>115000</v>
      </c>
      <c r="D5" s="2">
        <f t="shared" si="0"/>
        <v>23</v>
      </c>
      <c r="E5" s="2">
        <f>C5/500</f>
        <v>230</v>
      </c>
      <c r="F5">
        <v>230</v>
      </c>
    </row>
    <row r="6" spans="2:6" x14ac:dyDescent="0.25">
      <c r="C6" s="1"/>
      <c r="D6" s="2">
        <f>SUM(D3:D5)</f>
        <v>868.6</v>
      </c>
      <c r="F6" s="2">
        <f>SUM(F3:F5)</f>
        <v>1243.5999999999999</v>
      </c>
    </row>
    <row r="7" spans="2:6" x14ac:dyDescent="0.25">
      <c r="B7" t="s">
        <v>85</v>
      </c>
      <c r="C7" s="1">
        <v>4200000</v>
      </c>
      <c r="D7" s="2">
        <f>C7/C2</f>
        <v>840</v>
      </c>
    </row>
    <row r="8" spans="2:6" x14ac:dyDescent="0.25">
      <c r="C8" s="1"/>
    </row>
    <row r="9" spans="2:6" x14ac:dyDescent="0.25">
      <c r="C9" s="1"/>
    </row>
    <row r="10" spans="2:6" x14ac:dyDescent="0.25">
      <c r="B10" t="s">
        <v>86</v>
      </c>
      <c r="C10" s="1">
        <v>12500000</v>
      </c>
      <c r="D10" s="2">
        <f>C10/C2</f>
        <v>2500</v>
      </c>
      <c r="E10">
        <v>300</v>
      </c>
    </row>
    <row r="11" spans="2:6" x14ac:dyDescent="0.25">
      <c r="C11" s="1"/>
    </row>
    <row r="12" spans="2:6" x14ac:dyDescent="0.25">
      <c r="B12" t="s">
        <v>76</v>
      </c>
      <c r="C12" s="1">
        <f>C10-C7-C5-C4-C3</f>
        <v>3957000</v>
      </c>
    </row>
    <row r="15" spans="2:6" x14ac:dyDescent="0.25">
      <c r="B15" t="s">
        <v>87</v>
      </c>
      <c r="C15" s="2">
        <f>D10-D6</f>
        <v>1631.4</v>
      </c>
      <c r="D15" s="2">
        <f>(D10+E10)-F6</f>
        <v>1556.4</v>
      </c>
    </row>
    <row r="17" spans="2:3" x14ac:dyDescent="0.25">
      <c r="B17" t="s">
        <v>13</v>
      </c>
      <c r="C17" s="2">
        <f>D7+D6</f>
        <v>1708.6</v>
      </c>
    </row>
    <row r="18" spans="2:3" x14ac:dyDescent="0.25">
      <c r="B18" t="s">
        <v>63</v>
      </c>
      <c r="C18" s="2">
        <f>D10-C17</f>
        <v>791.40000000000009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A36EEE459E4CB75426C808595A72" ma:contentTypeVersion="8" ma:contentTypeDescription="Vytvoří nový dokument" ma:contentTypeScope="" ma:versionID="4ed1b6697231dee9561614db2c0db778">
  <xsd:schema xmlns:xsd="http://www.w3.org/2001/XMLSchema" xmlns:xs="http://www.w3.org/2001/XMLSchema" xmlns:p="http://schemas.microsoft.com/office/2006/metadata/properties" xmlns:ns3="0a140826-75e7-4b33-b05b-c1c9458035f8" xmlns:ns4="7665c756-e00c-44ab-91dd-e8e593eff840" targetNamespace="http://schemas.microsoft.com/office/2006/metadata/properties" ma:root="true" ma:fieldsID="ac350a5024088cea965d63c3360bbb86" ns3:_="" ns4:_="">
    <xsd:import namespace="0a140826-75e7-4b33-b05b-c1c9458035f8"/>
    <xsd:import namespace="7665c756-e00c-44ab-91dd-e8e593eff8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40826-75e7-4b33-b05b-c1c9458035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5c756-e00c-44ab-91dd-e8e593eff8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8A5E23-371A-4116-9F75-44D9D5EEB216}">
  <ds:schemaRefs>
    <ds:schemaRef ds:uri="http://purl.org/dc/elements/1.1/"/>
    <ds:schemaRef ds:uri="http://schemas.microsoft.com/office/2006/documentManagement/types"/>
    <ds:schemaRef ds:uri="0a140826-75e7-4b33-b05b-c1c9458035f8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7665c756-e00c-44ab-91dd-e8e593eff84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B7ACE4E-8A38-4E2C-B0BD-D76B9F7E8B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20E8C1-A632-48BE-AF78-62F60DF04A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140826-75e7-4b33-b05b-c1c9458035f8"/>
    <ds:schemaRef ds:uri="7665c756-e00c-44ab-91dd-e8e593eff8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VPC</vt:lpstr>
      <vt:lpstr>VPC_motivace </vt:lpstr>
      <vt:lpstr>AC_VC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2021-11-26T06:54:34Z</dcterms:created>
  <dcterms:modified xsi:type="dcterms:W3CDTF">2021-11-27T10:24:13Z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0x0101007E3CA36EEE459E4CB75426C808595A72</vt:lpwstr>
  </property>
</Properties>
</file>