
<file path=[Content_Types].xml><?xml version="1.0" encoding="utf-8"?>
<Types xmlns="http://schemas.openxmlformats.org/package/2006/content-types">
  <Default Extension="png" ContentType="image/png"/>
  <Default Extension="emf" ContentType="image/x-e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olors1.xml" ContentType="application/vnd.ms-office.chartcolorstyle+xml"/>
  <Override PartName="/xl/charts/colors2.xml" ContentType="application/vnd.ms-office.chartcolorstyle+xml"/>
  <Override PartName="/xl/charts/style1.xml" ContentType="application/vnd.ms-office.chartstyle+xml"/>
  <Override PartName="/xl/charts/style2.xml" ContentType="application/vnd.ms-office.chartsty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ml.chartshapes+xml"/>
  <Override PartName="/xl/drawings/drawing4.xml" ContentType="application/vnd.openxmlformats-officedocument.drawingml.chartshap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820" activeTab="1"/>
  </bookViews>
  <sheets>
    <sheet name="CSU HDP a zložky" sheetId="2" r:id="rId1"/>
    <sheet name=" cv1 HDP" sheetId="1" r:id="rId2"/>
    <sheet name="cv2 výd model" sheetId="3" r:id="rId3"/>
  </sheets>
  <definedNames>
    <definedName name="A">#REF!</definedName>
  </definedNames>
  <calcPr calcId="144525"/>
</workbook>
</file>

<file path=xl/sharedStrings.xml><?xml version="1.0" encoding="utf-8"?>
<sst xmlns="http://schemas.openxmlformats.org/spreadsheetml/2006/main" count="622" uniqueCount="433">
  <si>
    <t>Výdaje vládních institucí na konečnou spotřebu</t>
  </si>
  <si>
    <t>Tvorba hrubého fixního kapitálu</t>
  </si>
  <si>
    <t>Výdaje domácností na konečnou spotřebu (ceny roku 2015)</t>
  </si>
  <si>
    <t xml:space="preserve"> Změny zásob - odvětvová struktura (běžné ceny)</t>
  </si>
  <si>
    <t>max</t>
  </si>
  <si>
    <t>Vývoz zboží a služeb &lt;sup&gt;1)&lt;/sup&gt;</t>
  </si>
  <si>
    <t>Dovoz zboží a služeb &lt;sup&gt;2)&lt;/sup&gt;</t>
  </si>
  <si>
    <t>NX</t>
  </si>
  <si>
    <t>M000101c HDP výrobní metodou (ceny roku 2015)</t>
  </si>
  <si>
    <t>mil. Kč</t>
  </si>
  <si>
    <t>Název</t>
  </si>
  <si>
    <t>Produkce</t>
  </si>
  <si>
    <t>Mezispotřeba</t>
  </si>
  <si>
    <t>Hrubá přidaná hodnota</t>
  </si>
  <si>
    <t>Daně na výrobky</t>
  </si>
  <si>
    <t>Dotace na výrobky  (-)</t>
  </si>
  <si>
    <t>Hrubý domácí produkt</t>
  </si>
  <si>
    <t>(c) Český statistický úřad, 13/02/2021 21:18:37</t>
  </si>
  <si>
    <t>NXFI = XFI – MFI</t>
  </si>
  <si>
    <t>Hrubý národní produkt (GNP) potom definujeme jako hrubý domácí produkt plus čistý export důchodu z</t>
  </si>
  <si>
    <t xml:space="preserve">Čistý domácí důchod (NDI) </t>
  </si>
  <si>
    <t xml:space="preserve">NDI = GDP - T0 - a </t>
  </si>
  <si>
    <t xml:space="preserve">NDI = mzdy + úroky + zisky firem+ </t>
  </si>
  <si>
    <t>vlastnictví aktiv:</t>
  </si>
  <si>
    <t xml:space="preserve"> renty + příjmy ze samozaměstnávání (příjmy OSVČ)</t>
  </si>
  <si>
    <t>Klíčová slova</t>
  </si>
  <si>
    <t>Klíčové vzorce</t>
  </si>
  <si>
    <r>
      <rPr>
        <sz val="11"/>
        <color theme="1"/>
        <rFont val="Calibri"/>
        <charset val="238"/>
        <scheme val="minor"/>
      </rPr>
      <t xml:space="preserve">Pro vztah </t>
    </r>
    <r>
      <rPr>
        <b/>
        <sz val="11"/>
        <color theme="1"/>
        <rFont val="Calibri"/>
        <charset val="238"/>
        <scheme val="minor"/>
      </rPr>
      <t>GDP a GNP</t>
    </r>
    <r>
      <rPr>
        <sz val="11"/>
        <color theme="1"/>
        <rFont val="Calibri"/>
        <charset val="238"/>
        <scheme val="minor"/>
      </rPr>
      <t xml:space="preserve"> pak platí: je-li </t>
    </r>
    <r>
      <rPr>
        <b/>
        <sz val="11"/>
        <color theme="1"/>
        <rFont val="Calibri"/>
        <charset val="238"/>
        <scheme val="minor"/>
      </rPr>
      <t>NXFI = 0, platí GDP = GNP; je-li NXFI &lt; 0, je GDP &gt; GNP; je-li NXFI &gt; 0,</t>
    </r>
    <r>
      <rPr>
        <sz val="11"/>
        <color theme="1"/>
        <rFont val="Calibri"/>
        <charset val="238"/>
        <scheme val="minor"/>
      </rPr>
      <t xml:space="preserve"> </t>
    </r>
    <r>
      <rPr>
        <b/>
        <sz val="11"/>
        <color theme="1"/>
        <rFont val="Calibri"/>
        <charset val="238"/>
        <scheme val="minor"/>
      </rPr>
      <t>je GDP &lt; GNP.</t>
    </r>
  </si>
  <si>
    <t>Hrubý domácí produkt (GDP)</t>
  </si>
  <si>
    <t>GDP = C + Ig + G + NX</t>
  </si>
  <si>
    <t xml:space="preserve"> Hrubý národní produkt měří celkový důchod získaný občany domácí země bez ohledu na to, ve</t>
  </si>
  <si>
    <t>Disponibilní důchod (DI)</t>
  </si>
  <si>
    <t>DI = C + S</t>
  </si>
  <si>
    <t>Hrubý národní produkt (GNP)</t>
  </si>
  <si>
    <t>GNP = GDP + NXFI</t>
  </si>
  <si>
    <t>GDP = NDI + T0 + a</t>
  </si>
  <si>
    <t>které zemi jsou služby jejich výrobních faktorů užívány.</t>
  </si>
  <si>
    <t>Osobní důchod (PI)</t>
  </si>
  <si>
    <t xml:space="preserve">PI = NDI – zU – sS – TC + TR </t>
  </si>
  <si>
    <t>Nominální hrubý domácí produkt</t>
  </si>
  <si>
    <t xml:space="preserve">Reálný hrubý domácí produkt </t>
  </si>
  <si>
    <t>Čistý domácí produkt (NDP)</t>
  </si>
  <si>
    <t>NDP = GDP – a</t>
  </si>
  <si>
    <t>IR=a=IG-IN</t>
  </si>
  <si>
    <t>Čistý národní produkt (NNP)</t>
  </si>
  <si>
    <t>NNP = GNP – a</t>
  </si>
  <si>
    <t>Čistý důchod majetku ze zahraničí (NXFI)</t>
  </si>
  <si>
    <t>Národní důchod (NI)</t>
  </si>
  <si>
    <t>NI = NNP – T0</t>
  </si>
  <si>
    <t>Přidaná hodnota</t>
  </si>
  <si>
    <t>Meziprodukty</t>
  </si>
  <si>
    <t>Důchodová (nákladová) metoda</t>
  </si>
  <si>
    <t>Finální produkce</t>
  </si>
  <si>
    <t xml:space="preserve"> </t>
  </si>
  <si>
    <t>Důchodová metoda měření sčítá všechny náklady spojené s podnikáním, které jsou zároveň důchody, které domácnosti dostávají (jako majitelé výrobních faktorů) od firem.</t>
  </si>
  <si>
    <t>Spotřeba domácností (C)</t>
  </si>
  <si>
    <t>+ hrubé mzdy (včetně dalších nákladů na práci, které platí firmy)</t>
  </si>
  <si>
    <t>Úspory domácností (S)</t>
  </si>
  <si>
    <t>+ renty (včetně imputovaných nájmů)</t>
  </si>
  <si>
    <t>Hrubé investice (IG)</t>
  </si>
  <si>
    <t>IG = IN + IR = IN + a</t>
  </si>
  <si>
    <t>+ hrubé zisky korporací (dividendy akcionářů, nerozdělený zisk a daň ze zisku)</t>
  </si>
  <si>
    <t>Čisté investice (IN)</t>
  </si>
  <si>
    <t>IN=IG-a</t>
  </si>
  <si>
    <t>+ čisté úroky (rozdíl mezi přijatými a placenými úroky)</t>
  </si>
  <si>
    <t>Restituční investice (IR)</t>
  </si>
  <si>
    <t>+ příjmy ze samozaměstnání</t>
  </si>
  <si>
    <t>Vládní výdaje (G)</t>
  </si>
  <si>
    <t xml:space="preserve"> =čistý domácí důchod</t>
  </si>
  <si>
    <t>Dovoz (M)</t>
  </si>
  <si>
    <t>+ znehodnocení kapitálu</t>
  </si>
  <si>
    <t>Vývoz (X)</t>
  </si>
  <si>
    <t>+ nepřímé daně</t>
  </si>
  <si>
    <t>Čistý vývoz (NX)</t>
  </si>
  <si>
    <t>NX = X - M</t>
  </si>
  <si>
    <t>- dotace</t>
  </si>
  <si>
    <t>daně</t>
  </si>
  <si>
    <t>Přímé daně (T)</t>
  </si>
  <si>
    <t xml:space="preserve"> =hrubý domácí produkt</t>
  </si>
  <si>
    <t>Nepřímé daně (T0)</t>
  </si>
  <si>
    <t>Amortizace (a)</t>
  </si>
  <si>
    <t>Nerozdělené zisky korporací (zU)</t>
  </si>
  <si>
    <t>Výdajová metoda</t>
  </si>
  <si>
    <t>Příspěvky na sociální zabezpečení (sS)</t>
  </si>
  <si>
    <t>Daně ze zisku korporací (TC)</t>
  </si>
  <si>
    <t>Výdajová metoda sčítá veškeré výdaje v ekonomice po jednotlivých sektorech - domácnosti, firmy, stát a zahraniční obchod.</t>
  </si>
  <si>
    <t>Transferové platby (TR)</t>
  </si>
  <si>
    <t>Alternativní ukazatele ekonomické aktivity</t>
  </si>
  <si>
    <t>HDI, BLI</t>
  </si>
  <si>
    <t>C ... výdaje domácnosti na konečnou spotřebu, I ... hrubé investiční výdaje firem, G ... vládní výdaje na nákup výrobků a služeb, NX ... čistý export zboží a služeb</t>
  </si>
  <si>
    <t>Produkční metoda</t>
  </si>
  <si>
    <r>
      <rPr>
        <sz val="11"/>
        <color theme="1"/>
        <rFont val="Calibri"/>
        <charset val="238"/>
        <scheme val="minor"/>
      </rPr>
      <t xml:space="preserve">Produkční metoda měření sčítá hodnotu finální výrobků a služeb vyrobených v běžném roce. Do výpočtu se nezahrnuje hodnota tzv. </t>
    </r>
    <r>
      <rPr>
        <b/>
        <sz val="11"/>
        <color theme="1"/>
        <rFont val="Calibri"/>
        <charset val="238"/>
        <scheme val="minor"/>
      </rPr>
      <t>meziproduktů</t>
    </r>
    <r>
      <rPr>
        <sz val="11"/>
        <color theme="1"/>
        <rFont val="Calibri"/>
        <charset val="238"/>
        <scheme val="minor"/>
      </rPr>
      <t xml:space="preserve">. Meziprodukty jsou statky, které se používají k výrobě jiných statků. Aby nedošlo k dvojímu započítávání některých produktů je HDP dáno součtem </t>
    </r>
    <r>
      <rPr>
        <b/>
        <sz val="11"/>
        <color theme="1"/>
        <rFont val="Calibri"/>
        <charset val="238"/>
        <scheme val="minor"/>
      </rPr>
      <t>přidané hodnoty</t>
    </r>
    <r>
      <rPr>
        <sz val="11"/>
        <color theme="1"/>
        <rFont val="Calibri"/>
        <charset val="238"/>
        <scheme val="minor"/>
      </rPr>
      <t xml:space="preserve"> na každém stupni rozpracovanosti.</t>
    </r>
  </si>
  <si>
    <t>Krátké příklady k procvičení</t>
  </si>
  <si>
    <t>NXFI</t>
  </si>
  <si>
    <t>cvičebnica</t>
  </si>
  <si>
    <r>
      <rPr>
        <sz val="10"/>
        <color rgb="FF000000"/>
        <rFont val="Times New Roman"/>
        <charset val="238"/>
      </rPr>
      <t>1.</t>
    </r>
    <r>
      <rPr>
        <sz val="7"/>
        <color rgb="FF000000"/>
        <rFont val="Times New Roman"/>
        <charset val="238"/>
      </rPr>
      <t xml:space="preserve">    </t>
    </r>
    <r>
      <rPr>
        <sz val="10"/>
        <color theme="1"/>
        <rFont val="Times New Roman"/>
        <charset val="238"/>
      </rPr>
      <t>Pokud by hrubý národní produkt České republiky činil 4 235 mld. Kč a hrubý domácí produkt činil 4 150 mld. Kč, co můžete na základě těchto údajů říci o České republice?</t>
    </r>
  </si>
  <si>
    <t>HNP vs. HDP</t>
  </si>
  <si>
    <t>zadania cvičenia</t>
  </si>
  <si>
    <t>2.5 Na základě údajů z tabulky (uvedených v mld. peněžních jednotek) vypočtěte:</t>
  </si>
  <si>
    <t>2.6 Jsou zadány následující údaje hypotetické ekonomiky.</t>
  </si>
  <si>
    <t>a) hodnotu čistého exportu</t>
  </si>
  <si>
    <t>a) Vypočtěte velikost HDP.</t>
  </si>
  <si>
    <t>b) hodnotu HDP výdajovou metodou</t>
  </si>
  <si>
    <t>NDI</t>
  </si>
  <si>
    <t>b) Vypočtěte velikost domácího důchodu.</t>
  </si>
  <si>
    <t>c) hodnotu HDP důchodovou metodou</t>
  </si>
  <si>
    <t>Položka (mil. korun)</t>
  </si>
  <si>
    <t>d) hodnotu čistého domácího produktu</t>
  </si>
  <si>
    <t>e) hodnotu domácího důchodu.</t>
  </si>
  <si>
    <t>Spotřební výdaje</t>
  </si>
  <si>
    <t>Metoda výdajová</t>
  </si>
  <si>
    <t>Metoda důchodová</t>
  </si>
  <si>
    <t>a)</t>
  </si>
  <si>
    <t>Státní výdaje na nákup zboží a služeb</t>
  </si>
  <si>
    <t>GDP</t>
  </si>
  <si>
    <t>NDP</t>
  </si>
  <si>
    <t>spotřební výdaje domácností</t>
  </si>
  <si>
    <t>mzdy</t>
  </si>
  <si>
    <t>Hrubé domácí investice</t>
  </si>
  <si>
    <t>investiční výdaje firem</t>
  </si>
  <si>
    <t>zisky</t>
  </si>
  <si>
    <t>b)</t>
  </si>
  <si>
    <t>vládní výdaje</t>
  </si>
  <si>
    <t>úroky</t>
  </si>
  <si>
    <t>Export zboží a služeb</t>
  </si>
  <si>
    <t>z GDP</t>
  </si>
  <si>
    <t>z NDP</t>
  </si>
  <si>
    <t>vývoz</t>
  </si>
  <si>
    <t>renty</t>
  </si>
  <si>
    <t>dovoz</t>
  </si>
  <si>
    <t>příjmy ze samozaměstnání (OSVČ)</t>
  </si>
  <si>
    <t>Import zboží a služeb</t>
  </si>
  <si>
    <t>čistý export</t>
  </si>
  <si>
    <t>nepřímé daně</t>
  </si>
  <si>
    <t>HDP</t>
  </si>
  <si>
    <t>amortizace</t>
  </si>
  <si>
    <t>Nepřímé daně</t>
  </si>
  <si>
    <t>Dotace firmám</t>
  </si>
  <si>
    <t>transfer</t>
  </si>
  <si>
    <t>Amortizace (kapitálová spotřeba)</t>
  </si>
  <si>
    <t>2.7 Předpokládejte, že existuje ekonomika, která produkuje jen banány. Cena jednoho kilogramu banánů v roce 2017 činila 15 korun a bylo celkem vyprodukováno 250 tun banánů. V roce 2018 bylo vyprodukováno 270 tun banánů, které se prodaly za 16 korun za kilogram.</t>
  </si>
  <si>
    <t>a) Určete hodnotu nominálního produktu v roce 2017 a v roce 2018.</t>
  </si>
  <si>
    <t>b) Kolik činí hodnota reálného produktu v roce 2018, pokud rok 2017 je rokem výchozím?</t>
  </si>
  <si>
    <t>P</t>
  </si>
  <si>
    <t>HDPnom</t>
  </si>
  <si>
    <t>HDPreal</t>
  </si>
  <si>
    <t>změna</t>
  </si>
  <si>
    <t>míra růstu</t>
  </si>
  <si>
    <t>%</t>
  </si>
  <si>
    <t>pozor</t>
  </si>
  <si>
    <t>změna nom HDP</t>
  </si>
  <si>
    <t>změna ceny</t>
  </si>
  <si>
    <t>změna real. produkcie</t>
  </si>
  <si>
    <t>NX=HDP-C-Ig-G</t>
  </si>
  <si>
    <t>HDP=C+Ig+G+NX</t>
  </si>
  <si>
    <t>2.8 Pokud znáte údaje: HDP = 6000, hrubé investice = 800, čisté investice = 200, spotřební výdaje domácností = 4000, vládní výdaje na zboží a služby = 1100, vypočtěte:</t>
  </si>
  <si>
    <t>a) hodnotu čistého domácího produktu</t>
  </si>
  <si>
    <t>a</t>
  </si>
  <si>
    <t>HDP bez NX (C+I+G)</t>
  </si>
  <si>
    <t>b) čistého exportu.</t>
  </si>
  <si>
    <t>2.9 Vypočtěte konečnou (finální) hodnotu automobilu (která je součástí HDP určité země), jestliže se na jeho výrobě podílejí 4 odvětví (těžební průmysl částkou 25 000 Kč, železárny částkou 62 000 Kč, automobilka částkou 145 000 Kč a obchod částkou 65 000 Kč). K výpočtu použijte výrobní (neboli produkční, či odvětvovou) metodu.</t>
  </si>
  <si>
    <t>Odvětví</t>
  </si>
  <si>
    <t>Spotřebované meziprodukty</t>
  </si>
  <si>
    <t>Hodnota výstupu odvětví</t>
  </si>
  <si>
    <t>Těžební průmysl</t>
  </si>
  <si>
    <t xml:space="preserve"> -</t>
  </si>
  <si>
    <t>Železárny</t>
  </si>
  <si>
    <t>Automobilka</t>
  </si>
  <si>
    <t>Obchod</t>
  </si>
  <si>
    <t>přidaná hodnota - celkem</t>
  </si>
  <si>
    <t>2.10 Ekonomika farmářů produkuje ročně 100 tun obilí. Z nich se 87 tun spotřebuje, 10 tun jde na vládní nákupy jako obživa pro armádu, 6 tun jsou přírůstky zásob (projeví se to v domácích investicích), 4 tuny se vyvezou a 7 tun se doveze.</t>
  </si>
  <si>
    <t>Sestavte soubor národních účtů za předpokladu, že 1 tuna obilí stojí 5000 korun, neexistuje znehodnocení (amortizace) kapitálu, mzdy tvoří 75 % domácího produktu, nepřímé daně se používají k financování vládních výdajů a zbytek důchodu dostanou jako rentu farmáři.</t>
  </si>
  <si>
    <t>Postupujte výdajovou i důchodovou metodou.</t>
  </si>
  <si>
    <t>C</t>
  </si>
  <si>
    <t>w</t>
  </si>
  <si>
    <t>G</t>
  </si>
  <si>
    <t>r</t>
  </si>
  <si>
    <t>I</t>
  </si>
  <si>
    <t>X</t>
  </si>
  <si>
    <t>M</t>
  </si>
  <si>
    <t>T0</t>
  </si>
  <si>
    <t>10.    Předpokládejte, že hodnota čistých investic (IN) v ekonomice je 40 mld. Kč, výše spotřeby domácností (C) je 240 mld. Kč, vládní výdaje v ekonomice (G) mají hodnotu 50 mld. Kč, hodnota čistého exportu (NX) je 8 mld. Kč, velikost amortizace (a) je 5 mld. Kč a mzdy činí 12 mld. Kč.</t>
  </si>
  <si>
    <t>a)    Vypočtěte hodnotu hrubých investic.</t>
  </si>
  <si>
    <t>IN</t>
  </si>
  <si>
    <t>b)   Kolik činí velikost hrubého domácího produktu?</t>
  </si>
  <si>
    <t xml:space="preserve">c)    Jaká je výše čistého domácího produktu? </t>
  </si>
  <si>
    <t>11.    Předpokládejte, že hrubé investice (IG)v ekonomice jsou ve výši 248 mld. Kč, hrubý domácí produkt (GDP) ekonomiky činí 2240 mld. Kč, vládní výdaje (G) jsou ve výši 540 mld. Kč, a hodnota vývozu (X) je 1950 mld. Kč, amortizace (a) v dané ekonomice je ve výši 60 mld. Kč.</t>
  </si>
  <si>
    <t>a)    Kolik bude činit hodnota dovozu (M), pokud víte, že čistý export v dané ekonomice je ve výši -150 mld. Kč?</t>
  </si>
  <si>
    <t>IG</t>
  </si>
  <si>
    <t>NX=X-M</t>
  </si>
  <si>
    <t>b)   Pokud platí vše výše uvedené, vypočítejte hodnotu spotřeby domácností.</t>
  </si>
  <si>
    <t>c)    Jaká bude v této ekonomice hodnota čistého domácího produktu?</t>
  </si>
  <si>
    <t>12.    Předpokládejte, že mzdy ve fiktivní ekonomice činí 600 mld. Kč, renty 280 mld. Kč, čisté úroky jsou ve výši 50 mld. Kč, zisky korporací činí 20 mld. Kč, příjmy ze samozaměstnávání 115 mld. Kč, hrubé investice jsou 300 mld. Kč, čisté investice 250 mld. Kč, nepřímé daně 120 mld. Kč a spotřební výdaje domácností jsou ve výši 550 mld. Kč.</t>
  </si>
  <si>
    <t>a)    Kolik činí velikost čistého domácího důchod dané ekonomiky?</t>
  </si>
  <si>
    <t>b)   Jakou metodu použijete pro výpočet GDP?</t>
  </si>
  <si>
    <t>c)    Jak velký bude GDP dané ekonomiky?</t>
  </si>
  <si>
    <t>i</t>
  </si>
  <si>
    <t>d)   Jaké výše dosáhne v dané ekonomice hodnota amortizace?</t>
  </si>
  <si>
    <t>z</t>
  </si>
  <si>
    <t>si</t>
  </si>
  <si>
    <t>To</t>
  </si>
  <si>
    <t>NDI = GDP - T0 - IR(a)</t>
  </si>
  <si>
    <t>13.    Představte si zjednodušenou ekonomiku, která produkuje jen dva statky – kukuřici a obilí. V prvním roce bylo vyprodukováno celkem 320 tun kukuřice a 190 tun obilí, přičemž cena jednoho kilogramu kukuřice byla 2 koruny a cena jednoho kilogramu obilí byla 3,50 koruny. V druhém roce bylo vypěstováno celkem 308 tun kukuřice a 208 tun obilí. Přičemž cena kukuřice se zvýšila o 20 % oproti předchozímu roku a cena obilí poklesla na 3,10 koruny za kg.</t>
  </si>
  <si>
    <t>a)    Vypočítejte výši nominálního GDP v prvním i druhém roce.</t>
  </si>
  <si>
    <t>1.</t>
  </si>
  <si>
    <t>b)   Vypočítejte, o kolik procent vzrostl nominální GDP mezi prvním a druhým rokem.</t>
  </si>
  <si>
    <t>c)    Vypočítejte výši reálného GDP v prvním i druhém roce, přičemž výchozím obdobím je první rok.</t>
  </si>
  <si>
    <t>d)   Vypočítejte reálný růst ekonomiky v procentech změny GDP mezi prvním a druhým rokem.</t>
  </si>
  <si>
    <t>2.</t>
  </si>
  <si>
    <t>KUKURICA</t>
  </si>
  <si>
    <t>OBILIE</t>
  </si>
  <si>
    <t>GDP1</t>
  </si>
  <si>
    <t>GDP2</t>
  </si>
  <si>
    <t>GDP2REÁLNY</t>
  </si>
  <si>
    <t>Q</t>
  </si>
  <si>
    <t>p</t>
  </si>
  <si>
    <t>Oficiálne cvičenie</t>
  </si>
  <si>
    <t>Vypočtěte velikost investičního multiplikátoru, znáte-li velikost:</t>
  </si>
  <si>
    <t>a) mpc = 0,91;</t>
  </si>
  <si>
    <t>mps</t>
  </si>
  <si>
    <t>Y=C+S</t>
  </si>
  <si>
    <t>AE=C+I</t>
  </si>
  <si>
    <t>Ukázkový příklad</t>
  </si>
  <si>
    <t>b) mps = 0,07.</t>
  </si>
  <si>
    <t>mpc</t>
  </si>
  <si>
    <t>změna Y=</t>
  </si>
  <si>
    <t>k*zmenaAE</t>
  </si>
  <si>
    <t xml:space="preserve">Hodnota autonomní spotřeby v dané ekonomice je 1200 mld. korun, plánované investice jsou ve výši 600 mld. korun, spotřeba vlády je 800 mld. korun a hodnota exportu 400 mld. korun. Dále víte, že mezní sklon ke spotřebě mpc = 0,75, mezní sklon k dovozu mpm = 0,15. </t>
  </si>
  <si>
    <t>S=I</t>
  </si>
  <si>
    <t>a)    Napište rovnici spotřební funkce této ekonomiky.</t>
  </si>
  <si>
    <t>b)   Vypočítejte hodnotu rovnovážného produktu.</t>
  </si>
  <si>
    <t>c)    Sestrojte graf dovozu, vývozu a čistého exportu i s přesnými číselnými údaji.</t>
  </si>
  <si>
    <t>3.2 V modelové ekonomice je dána spotřební funkce C = 0,8Y a investice jsou autonomní ve výši 20 mld. korun. Najděte rovnovážnou úroveň důchodu v této dvousektorové ekonomice. Jaká bude při tomto rovnovážném důchodu YE velikost spotřeby C?</t>
  </si>
  <si>
    <t xml:space="preserve">d)   Pokud by byl důchod ve výši 6 000 mld. Kč, vypočítejte hodnotu čistého exportu.  </t>
  </si>
  <si>
    <t>Y=AE</t>
  </si>
  <si>
    <t>C =  0,8*Y</t>
  </si>
  <si>
    <t>I=20</t>
  </si>
  <si>
    <t>e)    Jakou změnu rovnovážného produktu vyvolá nárůst o 100 miliard korun u níže uvedených autonomních výdajů?</t>
  </si>
  <si>
    <t>Y = 20 + 0,8*Y</t>
  </si>
  <si>
    <t>Y=</t>
  </si>
  <si>
    <t>C=</t>
  </si>
  <si>
    <t>                     i.        Soukromých investic,</t>
  </si>
  <si>
    <t>3.3 Předpokládejme, že se investice v ekonomice z příkladu 3.2 zvýší z 20 na 22 mld. korun. Vypočtěte novou rovnovážnou úroveň důchodu YE2.</t>
  </si>
  <si>
    <t>                   ii.        vládních výdajů na nákup výrobků a služeb,</t>
  </si>
  <si>
    <t>k</t>
  </si>
  <si>
    <t>I=22</t>
  </si>
  <si>
    <t>                  iii.        transferů,</t>
  </si>
  <si>
    <t>Y = 22 + 0,8*Y</t>
  </si>
  <si>
    <t>S=</t>
  </si>
  <si>
    <t>                  iv.        daní,</t>
  </si>
  <si>
    <t>3.4 Předpokládejme, že v ekonomice popsané v příkladu 3.2 se mezní sklon ke spotřebě zvýší z 0,8 na 0,85. Jestliže plánované autonomní investiční výdaje budou 20 mld., jaká bude nová rovnovážná úroveň důchodu YE3 a nová úroveň spotřeby C3 při tomto rovnovážném důchodu?</t>
  </si>
  <si>
    <t xml:space="preserve">                    v.        exportu. </t>
  </si>
  <si>
    <t>C =  0,85*Y</t>
  </si>
  <si>
    <t>Y = 20 + 0,85*Y</t>
  </si>
  <si>
    <t>C0=1200</t>
  </si>
  <si>
    <t>I0=600</t>
  </si>
  <si>
    <t>G=800</t>
  </si>
  <si>
    <t>X=400</t>
  </si>
  <si>
    <t>3.5 Jestliže spotřební výdaje C = 0,75*Y a autonomní investice jsou 5 mld., vypočtěte</t>
  </si>
  <si>
    <t>Řešení</t>
  </si>
  <si>
    <t>a) hodnotu investičního multiplikátoru k</t>
  </si>
  <si>
    <t>a)    Spotřební funkce je vyjádřením závislosti spotřeby domácností na disponibilním důchodu v dané ekonomice. Tato spotřeba se skládá z autonomní spotřeby (C0), která je nezávislá na velikosti důchodů (tj. taková spotřeba, kterou má každá domácnost v pravidelně se opakujících intervalech, např. nájemné, zálohy na energie, faktura za telefon, základní potraviny apod.) a z indukované spotřeby (CI), která je závislá na velikosti důchodu (tzn., že s rostoucím důchodem domácnosti roste i tato spotřeba – např. výdaje za návštěvu kina, restaurace, fit centra, nákupy zahraniční dovolené apod.).</t>
  </si>
  <si>
    <t>b) změnu reálného důchodu ΔY způsobenou zvýšením investic o ΔI = 1 mld.</t>
  </si>
  <si>
    <t>C = C0 + CI = C0 + mpc·Y</t>
  </si>
  <si>
    <t>c) novou úroveň rovnovážného důchodu YE.</t>
  </si>
  <si>
    <t>C = 1200 + 0,75·Y</t>
  </si>
  <si>
    <t>AE=0,75*Y+5</t>
  </si>
  <si>
    <t xml:space="preserve">ΔY </t>
  </si>
  <si>
    <t>Spotřební funkce domácností má tvar C = 1200 + 0,75Y.</t>
  </si>
  <si>
    <t>b)    Hodnota rovnovážného důchodu je v keynesiánském výdajovém modelu s multiplikátorem určena rovnováhou agregátních výdajů a důchodu domácností. Agregátní výdaje jsou dány vždy součtem všech výdajů v dané ekonomice. Pokud se jedná o dvousektorovou ekonomiku, jsou tyto výdaje reprezentovány výdaji domácností a investičními výdaji firem. V třísektorové ekonomice se přidávají také výdaje vlády a v čtyřsektorové ekonomice se započítává i čistý export, který vypočítáme jako export mínus import. Rovnováhu ekonomiky popisuje v grafickém vyjádření bod, kdy AE = Y. Tyto rovnovážné body leží na linii svírající s osami grafu úhel 45 stupňů.</t>
  </si>
  <si>
    <t>Y</t>
  </si>
  <si>
    <t xml:space="preserve"> Y = AE</t>
  </si>
  <si>
    <t>AE</t>
  </si>
  <si>
    <t xml:space="preserve"> Y = C + I + G + NX</t>
  </si>
  <si>
    <t>3.6 Spotřební funkce je dána rovnicí C = 10 + 0,8Y. Investiční výdaje jsou autonomní ve výši 20 mld. korun.</t>
  </si>
  <si>
    <t>AE=Y</t>
  </si>
  <si>
    <t>AE1</t>
  </si>
  <si>
    <t>AE2</t>
  </si>
  <si>
    <t xml:space="preserve"> Y = C0 + mpc·Y + I0+ G0 + (X – mpm·Y)</t>
  </si>
  <si>
    <t>a) Nakreslete křivku agregátních výdajů ve výdajovém modelu.</t>
  </si>
  <si>
    <t xml:space="preserve"> Y = 1200 + 0,75·Y + 600 + 800 + 400 – 0,15·Y</t>
  </si>
  <si>
    <t>b) Určete hodnotu rovnovážného důchodu YE.</t>
  </si>
  <si>
    <t xml:space="preserve">  Y – 0,75·Y + 0,15·Y = 3000</t>
  </si>
  <si>
    <t>c) Jaký je sklon křivky agregátních výdajů a její počátek na svislé ose?</t>
  </si>
  <si>
    <t xml:space="preserve">  0,4·Y = 3000</t>
  </si>
  <si>
    <t>d) Jestliže autonomní spotřeba poklesne na 6 mld. korun, k jaké změně dojde u křivky AE (posune se, změní se sklon)?</t>
  </si>
  <si>
    <t xml:space="preserve"> Y = 7 500 mld. korun</t>
  </si>
  <si>
    <t>C=C0+C1</t>
  </si>
  <si>
    <t>Hodnota rovnovážného důchodu v této ekonomice je ve výši 7 500 mld. korun.</t>
  </si>
  <si>
    <t>C = 10 + 0,8*Y</t>
  </si>
  <si>
    <t>c)    Jak již bylo výše naznačeno, čistý export vypočítáme jako export mínus import, přičemž export považujeme za autonomní veličinu (nezávislou na velikosti domácího důchodu), proto bude křivka exportu horizontální. Naopak hodnota importu je závislá na velikosti důchodu, tzn., že s rostoucím důchodem poroste i hodnota výdajů použitých na importované výrobky (proto bude křivka importu rostoucí lineární křivkou). Sklon křivky importu pak bude určen velikostí mezního sklonu k importu a velikostí důchodu – tj. mpm.Y. Křivku čistého exportu poté získáme odečtením hodnoty importu od hodnoty exportu.</t>
  </si>
  <si>
    <t>Y=30+0,8*Y</t>
  </si>
  <si>
    <t>0,2*Y=</t>
  </si>
  <si>
    <t>AE=30+0,8*Y</t>
  </si>
  <si>
    <t>Y=C</t>
  </si>
  <si>
    <t>y=a+b*x</t>
  </si>
  <si>
    <t>k=</t>
  </si>
  <si>
    <t>NX=X – mpm·Y</t>
  </si>
  <si>
    <t>NX=0</t>
  </si>
  <si>
    <t>NX=400 – 0,15·Y</t>
  </si>
  <si>
    <t>C = 6 + 0,8*Y</t>
  </si>
  <si>
    <t xml:space="preserve">Za export doplníme konkrétní hodnotu </t>
  </si>
  <si>
    <t>ve výši 400 mld. Kč. Za import konkrétní</t>
  </si>
  <si>
    <t>NX=</t>
  </si>
  <si>
    <t>Y=26+0,8*Y</t>
  </si>
  <si>
    <t>hodnotu nelze doplnit, neboť neznáme</t>
  </si>
  <si>
    <t>velikost důchodu, proto lze doplnit 0,15·Y.</t>
  </si>
  <si>
    <t>Poslední hodnotu, kterou lze dopočítat je</t>
  </si>
  <si>
    <t>hodnota, kdy čistý export bude nulový,</t>
  </si>
  <si>
    <t>tzn., hodnota exportu se rovná hodnotě</t>
  </si>
  <si>
    <t xml:space="preserve">importu. </t>
  </si>
  <si>
    <t>EX = IM</t>
  </si>
  <si>
    <t>400 = 0,15·Y</t>
  </si>
  <si>
    <t xml:space="preserve">Y  ≐ 2 667 mld. korun </t>
  </si>
  <si>
    <t>d)    V případě, že známe hodnotu důchodu, lze dopočítat velikost importu a tím také zjistíme hodnotu čistého exportu, protože velikost export se s velikostí důchodu nemění (export bude stále ve výši 400 mld. korun).</t>
  </si>
  <si>
    <t>NX = X – M</t>
  </si>
  <si>
    <t>NX = X – mpm.Y</t>
  </si>
  <si>
    <t>NX = 400 – 0,15·6000</t>
  </si>
  <si>
    <t>NX = -500 mld. korun</t>
  </si>
  <si>
    <t>Velikost čistého exportu za předpokladu, že důchod je ve výši 6000 mld. korun, bude -500 mld. korun. Tzn., že do dané země se doveze zboží ve vyšší hodnotě, než se z ní vyveze.</t>
  </si>
  <si>
    <t>e)    Zvýšení některého z výdajů se projeví několikanásobně na velikosti celkového důchodu. Je to dáno tím, že jakýkoliv výdaj se vždy v omezené výši dostane dále do spotřeby. Např. když vláda investuje do stavby silnice, obdržené prostředky stavební firma využije na platy zaměstnanců, popř. na nákup materiálu. Takto utracené prostředky zase použijí dodavatelské firmy, které inkasovaly prostředky za dodaný materiál, na další nákupy atd. Velikost každé další spotřeby je pak snížena o částku determinovanou velikostí mezního sklonu k úsporám, neboť subjekty v ekonomice v průměru část inkasovaných prostředků odkládají v podobě úspor – tím pádem se takto odložené prostředky nedostanou do tzv. výdajového řetězce.</t>
  </si>
  <si>
    <t xml:space="preserve">Výpočet vlivu jednotlivých výdajů na reálný důchod pak získáme, když každý výdaj vynásobíme příslušným multiplikátorem.  </t>
  </si>
  <si>
    <t xml:space="preserve">             i.        ΔY = k·ΔI = 1/(1-mpc)·ΔI =  1/(1-0,75)·100=4·100 = 400 miliard korun;  </t>
  </si>
  <si>
    <t xml:space="preserve">            ii.        ΔY = k·ΔG = 1/(1-mpc)·ΔG = 1/(1-0,75)·100=4·100 = 400 miliard korun; </t>
  </si>
  <si>
    <t xml:space="preserve">          iii.        ΔY = k·ΔTR = mpc/(1-mpc)·ΔTR = (0,75/0,25)·100 = 3·100 = 300 miliard korun; </t>
  </si>
  <si>
    <t xml:space="preserve">          iv.        ΔY = k·ΔT = -mpc/(1-mpc)·ΔT = -(0,75/0,25)·100 = -3·100 = -300 miliard korun; </t>
  </si>
  <si>
    <t xml:space="preserve">            v.        ΔY = k·ΔX = 1/(1-mpc+mpm)·ΔX = 1/(0,25+0,1) ·100 = 2,857·100 = </t>
  </si>
  <si>
    <t>= 285,7 miliard korun.</t>
  </si>
  <si>
    <t>Největší vliv na celkový důchod budou mít investiční výdaje a vládní výdaje. Všechny ostatní výdaje budou mít menší multiplikovaný efekt.</t>
  </si>
  <si>
    <t>Doplnkové príklady</t>
  </si>
  <si>
    <t xml:space="preserve">1.    Fiktivní ekonomika je popsána následujícími funkcemi: </t>
  </si>
  <si>
    <t>2.    V třísektorové ekonomice je úroveň autonomní spotřeby C0 = 200 mld. dolarů, velikost autonomních investic I = 90 mld. dolarů, autonomních vládních výdajů G = 65 mld. dolarů, mezní sklon ke spotřebě mpc = 0,7.</t>
  </si>
  <si>
    <t>Čistý export NX = 20 - 0,1·Y, spotřeba domácností C = 20 + 0,75·(1 – t)·Y, autonomní investice I = 25 a vládní výdaje G = 15.</t>
  </si>
  <si>
    <t>a)    Napište rovnici spotřební funkce.</t>
  </si>
  <si>
    <t>YD=Y-T+TR</t>
  </si>
  <si>
    <t>Jestliže vláda hodlá zachovat vyrovnanou úroveň běžného účtu platební bilance (NX = 0), jakou sazbu důchodové daně by měla uzákonit?</t>
  </si>
  <si>
    <t xml:space="preserve">b)   Jaká je úroveň rovnovážného důchodu (Y1)? </t>
  </si>
  <si>
    <t xml:space="preserve">c)    O kolik se musejí zvýšit G, aby Y vzrostl o 250 mld. dolarů na Y2? </t>
  </si>
  <si>
    <t>T=T0+T1</t>
  </si>
  <si>
    <t>1/(1-mpc*(1-t)+mpm)</t>
  </si>
  <si>
    <t xml:space="preserve">d)   Pokud vláda vámi vypočtené zvýšení G kryje zvýšením paušálních (autonomních) daní o stejnou částku, aby zachovala vyrovnaný státní rozpočet, jaká bude výsledná úroveň důchodu (Y3)? </t>
  </si>
  <si>
    <t>T=T0+t.Y</t>
  </si>
  <si>
    <t>AE=C+I+G+NX</t>
  </si>
  <si>
    <t>3.7 Hodnota rovnovážného důchodu je 3000 mld. peněžních jednotek, mezní sklon ke spotřebě mpc = 0,75 a mezní sklon k dovozu mpm = 0,1.</t>
  </si>
  <si>
    <t>20+0,75*(1-t)*Y+25+15+20-0,1*Y</t>
  </si>
  <si>
    <t>C=200+0,7*Y</t>
  </si>
  <si>
    <t>Jakou změnu rovnovážného důchodu Y způsobí zvýšení níže uvedených složek agregátních výdajů o 100 mld.?</t>
  </si>
  <si>
    <t>Y*(0,75*(1-t)-0,1))</t>
  </si>
  <si>
    <t>0,75-0,75*t-0,1</t>
  </si>
  <si>
    <t>200+0,7*Y+90+65</t>
  </si>
  <si>
    <t>BS=T-TR-G</t>
  </si>
  <si>
    <t>změna AE=100</t>
  </si>
  <si>
    <t>k v prípade otv. Ekonomiky</t>
  </si>
  <si>
    <t>Y(otvor. Ek)</t>
  </si>
  <si>
    <t>Y(uzavret. Ek)</t>
  </si>
  <si>
    <t>80+</t>
  </si>
  <si>
    <t xml:space="preserve"> = ((0,75-0,1)</t>
  </si>
  <si>
    <t xml:space="preserve">  -0,75*t)</t>
  </si>
  <si>
    <t>*Y</t>
  </si>
  <si>
    <t>a) autonomních investic</t>
  </si>
  <si>
    <t>Y-0,7*Y</t>
  </si>
  <si>
    <t>b) vládních výdajů na výrobky a služby</t>
  </si>
  <si>
    <t>ko=</t>
  </si>
  <si>
    <t xml:space="preserve"> = (0,75-0,1</t>
  </si>
  <si>
    <t>*120</t>
  </si>
  <si>
    <t>Y1</t>
  </si>
  <si>
    <t>ΔBS=ΔT-ΔG=0</t>
  </si>
  <si>
    <t>c) transferů</t>
  </si>
  <si>
    <r>
      <rPr>
        <b/>
        <sz val="11"/>
        <color theme="1"/>
        <rFont val="Times New Roman"/>
        <charset val="238"/>
      </rPr>
      <t>k</t>
    </r>
    <r>
      <rPr>
        <b/>
        <vertAlign val="subscript"/>
        <sz val="11"/>
        <color theme="1"/>
        <rFont val="Times New Roman"/>
        <charset val="238"/>
      </rPr>
      <t>TR</t>
    </r>
    <r>
      <rPr>
        <b/>
        <sz val="11"/>
        <color theme="1"/>
        <rFont val="Times New Roman"/>
        <charset val="238"/>
      </rPr>
      <t xml:space="preserve"> = </t>
    </r>
  </si>
  <si>
    <r>
      <rPr>
        <sz val="10"/>
        <color theme="1"/>
        <rFont val="Times New Roman"/>
        <charset val="238"/>
      </rPr>
      <t>k</t>
    </r>
    <r>
      <rPr>
        <vertAlign val="subscript"/>
        <sz val="10"/>
        <color theme="1"/>
        <rFont val="Times New Roman"/>
        <charset val="238"/>
      </rPr>
      <t>TO</t>
    </r>
    <r>
      <rPr>
        <sz val="10"/>
        <color theme="1"/>
        <rFont val="Times New Roman"/>
        <charset val="238"/>
      </rPr>
      <t xml:space="preserve"> = - </t>
    </r>
  </si>
  <si>
    <t>Y2</t>
  </si>
  <si>
    <t>d) autonomních daní</t>
  </si>
  <si>
    <r>
      <rPr>
        <b/>
        <sz val="10"/>
        <color theme="1"/>
        <rFont val="Times New Roman"/>
        <charset val="238"/>
      </rPr>
      <t>k</t>
    </r>
    <r>
      <rPr>
        <b/>
        <vertAlign val="subscript"/>
        <sz val="10"/>
        <color theme="1"/>
        <rFont val="Times New Roman"/>
        <charset val="238"/>
      </rPr>
      <t>TO</t>
    </r>
    <r>
      <rPr>
        <b/>
        <sz val="10"/>
        <color theme="1"/>
        <rFont val="Times New Roman"/>
        <charset val="238"/>
      </rPr>
      <t xml:space="preserve"> = </t>
    </r>
  </si>
  <si>
    <t>t</t>
  </si>
  <si>
    <t>ΔY=</t>
  </si>
  <si>
    <t>1/(1-mpc)*ΔG</t>
  </si>
  <si>
    <t xml:space="preserve"> -mpc/(1-mpc)*ΔT</t>
  </si>
  <si>
    <t>e) exportu.</t>
  </si>
  <si>
    <t>kX=</t>
  </si>
  <si>
    <t>změnaY</t>
  </si>
  <si>
    <t>s otvor. ek.</t>
  </si>
  <si>
    <t>s uzavr.ek</t>
  </si>
  <si>
    <t>250=</t>
  </si>
  <si>
    <t>ΔT=ΔG</t>
  </si>
  <si>
    <t>3.8 Modelová ekonomika je popsána spotřební funkcí C = 0,9Y + 2000 mil., vládní výdaje na výrobky a služby (G) jsou ve výši 700 mil., investice soukromých firem (I) dosahují 1000 mil., ekonomika vyváží (X) ročně zboží za 500 mil. Dovoz (M) závisí přímo úměrně na důchodu (Y) a připadá na něj 20 % z důchodu.</t>
  </si>
  <si>
    <t>a) Sestrojte graf dovozu, vývozu a čistého exportu (NX) i s přesnými číselnými údaji.</t>
  </si>
  <si>
    <t>b) Jak velké je saldo zahraničního obchodu (tj. čistý export), když důchod Y = 3000 mil.?</t>
  </si>
  <si>
    <t>M=M0+M1</t>
  </si>
  <si>
    <t>M1=mpm*Y</t>
  </si>
  <si>
    <t>c) Vypočtěte úroveň rovnovážného důchodu YE této modelové ekonomiky.</t>
  </si>
  <si>
    <t>d) O kolik se změní YE, vzroste-li vývoz o 30 mil.?</t>
  </si>
  <si>
    <t xml:space="preserve">C = </t>
  </si>
  <si>
    <t>0,9*Y + 2000 mil</t>
  </si>
  <si>
    <t>0,2*Y</t>
  </si>
  <si>
    <r>
      <rPr>
        <sz val="11"/>
        <color theme="1"/>
        <rFont val="Calibri"/>
        <charset val="238"/>
        <scheme val="minor"/>
      </rPr>
      <t>AE</t>
    </r>
    <r>
      <rPr>
        <sz val="8"/>
        <color theme="1"/>
        <rFont val="Calibri"/>
        <charset val="238"/>
        <scheme val="minor"/>
      </rPr>
      <t>0</t>
    </r>
  </si>
  <si>
    <t>4200+</t>
  </si>
  <si>
    <t>(0,9-0,2)*Y</t>
  </si>
  <si>
    <t>c)</t>
  </si>
  <si>
    <t>AE0</t>
  </si>
  <si>
    <t>ko</t>
  </si>
  <si>
    <t>3.9 V třísektorové ekonomice je úroveň autonomní spotřeby Co = 200 mld. dolarů, autonomních investic I = 90 mld. dolarů, autonomních vládních výdajů G = 65 mld. dolarů, mezní sklon ke spotřebě mpc = 0,7.</t>
  </si>
  <si>
    <t>d)</t>
  </si>
  <si>
    <t>změna Y</t>
  </si>
  <si>
    <t>a) Napište rovnici spotřební funkce této ekonomiky.</t>
  </si>
  <si>
    <t>ΔY =</t>
  </si>
  <si>
    <t>ΔG* 1/(1-mpc)</t>
  </si>
  <si>
    <t>k=0,7/(1-0,7)</t>
  </si>
  <si>
    <t>b) Vypočtěte úroveň rovnovážného důchodu (Y1).</t>
  </si>
  <si>
    <t>kT0</t>
  </si>
  <si>
    <t>vplyv T0 (záporný)</t>
  </si>
  <si>
    <t>c) O kolik se musejí zvýšit vládní výdaje G, aby rovnovážný důchod Y vzrostl o 250 mld. dolarů na Y2?</t>
  </si>
  <si>
    <t>vplyv G</t>
  </si>
  <si>
    <t>d) Pokud vláda vámi vypočtené zvýšení vládních výdajů kryje zvýšením autonomních daní o stejnou částku, aby zachovala vyrovnaný státní rozpočet, jaká bude výsledná úroveň důchodu (Y3)?</t>
  </si>
  <si>
    <t>zmenaG=zmenaY</t>
  </si>
  <si>
    <t>rozdiel</t>
  </si>
  <si>
    <t>Co</t>
  </si>
  <si>
    <t>Io</t>
  </si>
  <si>
    <t>355+0,7*Y</t>
  </si>
  <si>
    <t>AEo</t>
  </si>
  <si>
    <t>0,3*Y</t>
  </si>
  <si>
    <t>k=1/(1-0,7)</t>
  </si>
  <si>
    <t>*zmenaG</t>
  </si>
  <si>
    <t>3.10 Modelová ekonomika je popsána následujícími údaji: sazba důchodové daně (t) je rovna 25 % z důchodu (Y), transferové platby TR dosahují výše 40 mil. Kč při každé úrovni reálného důchodu, spotřeba (C) činí 80 % z disponibilního důchodu (YD). Investice (I) a vládní výdaje (G) jsou autonomní veličiny ve výši I = 78 mil. Kč, G = 70 mil. Kč.</t>
  </si>
  <si>
    <t>a) Vypočtěte a doplňte do tabulky níže disponibilní důchod YD, spotřební výdaje C, velikost daní (T) a agregátní výdaje (AE) pro uvedené hodnoty reálného důchodu Y.</t>
  </si>
  <si>
    <t>b) Určete úroveň rovnovážného důchodu YE pro tuto modelovou ekonomiku.</t>
  </si>
  <si>
    <t>T</t>
  </si>
  <si>
    <t>TR</t>
  </si>
  <si>
    <t>YD</t>
  </si>
  <si>
    <t>S</t>
  </si>
  <si>
    <t>T=To+t*Y</t>
  </si>
  <si>
    <t>t=0,25</t>
  </si>
  <si>
    <t>mpc=0,8</t>
  </si>
  <si>
    <t>AE=Co+mpc*[Y*(1-t)-To+TR]+Io+Go</t>
  </si>
</sst>
</file>

<file path=xl/styles.xml><?xml version="1.0" encoding="utf-8"?>
<styleSheet xmlns="http://schemas.openxmlformats.org/spreadsheetml/2006/main" xmlns:xr9="http://schemas.microsoft.com/office/spreadsheetml/2016/revision9">
  <numFmts count="5">
    <numFmt numFmtId="42" formatCode="_(&quot;$&quot;* #,##0_);_(&quot;$&quot;* \(#,##0\);_(&quot;$&quot;* &quot;-&quot;_);_(@_)"/>
    <numFmt numFmtId="44" formatCode="_(&quot;$&quot;* #,##0.00_);_(&quot;$&quot;* \(#,##0.00\);_(&quot;$&quot;* &quot;-&quot;??_);_(@_)"/>
    <numFmt numFmtId="176" formatCode="_ * #,##0.00_ ;_ * \-#,##0.00_ ;_ * &quot;-&quot;??_ ;_ @_ "/>
    <numFmt numFmtId="177" formatCode="_ * #,##0_ ;_ * \-#,##0_ ;_ * &quot;-&quot;_ ;_ @_ "/>
    <numFmt numFmtId="178" formatCode="###\ ###\ ##0"/>
  </numFmts>
  <fonts count="45">
    <font>
      <sz val="11"/>
      <color theme="1"/>
      <name val="Calibri"/>
      <charset val="238"/>
      <scheme val="minor"/>
    </font>
    <font>
      <sz val="11"/>
      <color rgb="FFFF0000"/>
      <name val="Calibri"/>
      <charset val="238"/>
      <scheme val="minor"/>
    </font>
    <font>
      <b/>
      <sz val="11"/>
      <color theme="1"/>
      <name val="Calibri"/>
      <charset val="238"/>
      <scheme val="minor"/>
    </font>
    <font>
      <sz val="14"/>
      <color theme="1"/>
      <name val="Calibri"/>
      <charset val="238"/>
      <scheme val="minor"/>
    </font>
    <font>
      <b/>
      <sz val="14"/>
      <color theme="1"/>
      <name val="Calibri"/>
      <charset val="238"/>
      <scheme val="minor"/>
    </font>
    <font>
      <b/>
      <sz val="11"/>
      <color theme="1"/>
      <name val="Times New Roman"/>
      <charset val="238"/>
    </font>
    <font>
      <b/>
      <sz val="10"/>
      <color theme="1"/>
      <name val="Times New Roman"/>
      <charset val="238"/>
    </font>
    <font>
      <sz val="10"/>
      <color theme="1"/>
      <name val="Times New Roman"/>
      <charset val="238"/>
    </font>
    <font>
      <b/>
      <sz val="11"/>
      <color rgb="FFFF0000"/>
      <name val="Calibri"/>
      <charset val="238"/>
      <scheme val="minor"/>
    </font>
    <font>
      <b/>
      <sz val="12"/>
      <color theme="1"/>
      <name val="Calibri"/>
      <charset val="238"/>
      <scheme val="minor"/>
    </font>
    <font>
      <b/>
      <sz val="16"/>
      <color theme="1"/>
      <name val="Calibri"/>
      <charset val="238"/>
      <scheme val="minor"/>
    </font>
    <font>
      <sz val="11"/>
      <color theme="1"/>
      <name val="Calibri"/>
      <charset val="238"/>
    </font>
    <font>
      <b/>
      <sz val="11"/>
      <color theme="5" tint="-0.249977111117893"/>
      <name val="Calibri"/>
      <charset val="238"/>
      <scheme val="minor"/>
    </font>
    <font>
      <b/>
      <sz val="14"/>
      <color theme="1"/>
      <name val="Times New Roman"/>
      <charset val="238"/>
    </font>
    <font>
      <sz val="10"/>
      <color rgb="FF000000"/>
      <name val="Times New Roman"/>
      <charset val="238"/>
    </font>
    <font>
      <sz val="10"/>
      <color theme="1"/>
      <name val="Calibri"/>
      <charset val="238"/>
      <scheme val="minor"/>
    </font>
    <font>
      <b/>
      <sz val="13.5"/>
      <color theme="1"/>
      <name val="Calibri"/>
      <charset val="238"/>
      <scheme val="minor"/>
    </font>
    <font>
      <b/>
      <sz val="10"/>
      <color rgb="FF000000"/>
      <name val="Times New Roman"/>
      <charset val="238"/>
    </font>
    <font>
      <b/>
      <sz val="10"/>
      <color rgb="FFFF0000"/>
      <name val="Times New Roman"/>
      <charset val="238"/>
    </font>
    <font>
      <sz val="11"/>
      <color theme="5" tint="-0.249977111117893"/>
      <name val="Calibri"/>
      <charset val="238"/>
      <scheme val="minor"/>
    </font>
    <font>
      <sz val="11"/>
      <color theme="1"/>
      <name val="Calibri"/>
      <charset val="134"/>
      <scheme val="minor"/>
    </font>
    <font>
      <u/>
      <sz val="11"/>
      <color rgb="FF0000FF"/>
      <name val="Calibri"/>
      <charset val="0"/>
      <scheme val="minor"/>
    </font>
    <font>
      <u/>
      <sz val="11"/>
      <color rgb="FF800080"/>
      <name val="Calibri"/>
      <charset val="0"/>
      <scheme val="minor"/>
    </font>
    <font>
      <sz val="11"/>
      <color rgb="FFFF0000"/>
      <name val="Calibri"/>
      <charset val="0"/>
      <scheme val="minor"/>
    </font>
    <font>
      <b/>
      <sz val="18"/>
      <color theme="3"/>
      <name val="Calibri"/>
      <charset val="134"/>
      <scheme val="minor"/>
    </font>
    <font>
      <i/>
      <sz val="11"/>
      <color rgb="FF7F7F7F"/>
      <name val="Calibri"/>
      <charset val="0"/>
      <scheme val="minor"/>
    </font>
    <font>
      <b/>
      <sz val="15"/>
      <color theme="3"/>
      <name val="Calibri"/>
      <charset val="134"/>
      <scheme val="minor"/>
    </font>
    <font>
      <b/>
      <sz val="13"/>
      <color theme="3"/>
      <name val="Calibri"/>
      <charset val="134"/>
      <scheme val="minor"/>
    </font>
    <font>
      <b/>
      <sz val="11"/>
      <color theme="3"/>
      <name val="Calibri"/>
      <charset val="134"/>
      <scheme val="minor"/>
    </font>
    <font>
      <sz val="11"/>
      <color rgb="FF3F3F76"/>
      <name val="Calibri"/>
      <charset val="0"/>
      <scheme val="minor"/>
    </font>
    <font>
      <b/>
      <sz val="11"/>
      <color rgb="FF3F3F3F"/>
      <name val="Calibri"/>
      <charset val="0"/>
      <scheme val="minor"/>
    </font>
    <font>
      <b/>
      <sz val="11"/>
      <color rgb="FFFA7D00"/>
      <name val="Calibri"/>
      <charset val="0"/>
      <scheme val="minor"/>
    </font>
    <font>
      <b/>
      <sz val="11"/>
      <color rgb="FFFFFFFF"/>
      <name val="Calibri"/>
      <charset val="0"/>
      <scheme val="minor"/>
    </font>
    <font>
      <sz val="11"/>
      <color rgb="FFFA7D00"/>
      <name val="Calibri"/>
      <charset val="0"/>
      <scheme val="minor"/>
    </font>
    <font>
      <b/>
      <sz val="11"/>
      <color theme="1"/>
      <name val="Calibri"/>
      <charset val="0"/>
      <scheme val="minor"/>
    </font>
    <font>
      <sz val="11"/>
      <color rgb="FF006100"/>
      <name val="Calibri"/>
      <charset val="0"/>
      <scheme val="minor"/>
    </font>
    <font>
      <sz val="11"/>
      <color rgb="FF9C0006"/>
      <name val="Calibri"/>
      <charset val="0"/>
      <scheme val="minor"/>
    </font>
    <font>
      <sz val="11"/>
      <color rgb="FF9C6500"/>
      <name val="Calibri"/>
      <charset val="0"/>
      <scheme val="minor"/>
    </font>
    <font>
      <sz val="11"/>
      <color theme="0"/>
      <name val="Calibri"/>
      <charset val="0"/>
      <scheme val="minor"/>
    </font>
    <font>
      <sz val="11"/>
      <color theme="1"/>
      <name val="Calibri"/>
      <charset val="0"/>
      <scheme val="minor"/>
    </font>
    <font>
      <b/>
      <vertAlign val="subscript"/>
      <sz val="11"/>
      <color theme="1"/>
      <name val="Times New Roman"/>
      <charset val="238"/>
    </font>
    <font>
      <vertAlign val="subscript"/>
      <sz val="10"/>
      <color theme="1"/>
      <name val="Times New Roman"/>
      <charset val="238"/>
    </font>
    <font>
      <b/>
      <vertAlign val="subscript"/>
      <sz val="10"/>
      <color theme="1"/>
      <name val="Times New Roman"/>
      <charset val="238"/>
    </font>
    <font>
      <sz val="8"/>
      <color theme="1"/>
      <name val="Calibri"/>
      <charset val="238"/>
      <scheme val="minor"/>
    </font>
    <font>
      <sz val="7"/>
      <color rgb="FF000000"/>
      <name val="Times New Roman"/>
      <charset val="238"/>
    </font>
  </fonts>
  <fills count="3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2"/>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36">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bottom/>
      <diagonal/>
    </border>
    <border>
      <left/>
      <right style="medium">
        <color auto="1"/>
      </right>
      <top/>
      <bottom/>
      <diagonal/>
    </border>
    <border>
      <left style="thin">
        <color auto="1"/>
      </left>
      <right/>
      <top style="thin">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176" fontId="20" fillId="0" borderId="0" applyFont="0" applyFill="0" applyBorder="0" applyAlignment="0" applyProtection="0">
      <alignment vertical="center"/>
    </xf>
    <xf numFmtId="44" fontId="20" fillId="0" borderId="0" applyFont="0" applyFill="0" applyBorder="0" applyAlignment="0" applyProtection="0">
      <alignment vertical="center"/>
    </xf>
    <xf numFmtId="9" fontId="20" fillId="0" borderId="0" applyFont="0" applyFill="0" applyBorder="0" applyAlignment="0" applyProtection="0">
      <alignment vertical="center"/>
    </xf>
    <xf numFmtId="177" fontId="20" fillId="0" borderId="0" applyFont="0" applyFill="0" applyBorder="0" applyAlignment="0" applyProtection="0">
      <alignment vertical="center"/>
    </xf>
    <xf numFmtId="42" fontId="20" fillId="0" borderId="0" applyFon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0" fillId="7" borderId="28" applyNumberFormat="0" applyFont="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29" applyNumberFormat="0" applyFill="0" applyAlignment="0" applyProtection="0">
      <alignment vertical="center"/>
    </xf>
    <xf numFmtId="0" fontId="27" fillId="0" borderId="29" applyNumberFormat="0" applyFill="0" applyAlignment="0" applyProtection="0">
      <alignment vertical="center"/>
    </xf>
    <xf numFmtId="0" fontId="28" fillId="0" borderId="30" applyNumberFormat="0" applyFill="0" applyAlignment="0" applyProtection="0">
      <alignment vertical="center"/>
    </xf>
    <xf numFmtId="0" fontId="28" fillId="0" borderId="0" applyNumberFormat="0" applyFill="0" applyBorder="0" applyAlignment="0" applyProtection="0">
      <alignment vertical="center"/>
    </xf>
    <xf numFmtId="0" fontId="29" fillId="8" borderId="31" applyNumberFormat="0" applyAlignment="0" applyProtection="0">
      <alignment vertical="center"/>
    </xf>
    <xf numFmtId="0" fontId="30" fillId="9" borderId="32" applyNumberFormat="0" applyAlignment="0" applyProtection="0">
      <alignment vertical="center"/>
    </xf>
    <xf numFmtId="0" fontId="31" fillId="9" borderId="31" applyNumberFormat="0" applyAlignment="0" applyProtection="0">
      <alignment vertical="center"/>
    </xf>
    <xf numFmtId="0" fontId="32" fillId="10" borderId="33" applyNumberFormat="0" applyAlignment="0" applyProtection="0">
      <alignment vertical="center"/>
    </xf>
    <xf numFmtId="0" fontId="33" fillId="0" borderId="34" applyNumberFormat="0" applyFill="0" applyAlignment="0" applyProtection="0">
      <alignment vertical="center"/>
    </xf>
    <xf numFmtId="0" fontId="34" fillId="0" borderId="35" applyNumberFormat="0" applyFill="0" applyAlignment="0" applyProtection="0">
      <alignment vertical="center"/>
    </xf>
    <xf numFmtId="0" fontId="35" fillId="11" borderId="0" applyNumberFormat="0" applyBorder="0" applyAlignment="0" applyProtection="0">
      <alignment vertical="center"/>
    </xf>
    <xf numFmtId="0" fontId="36" fillId="12" borderId="0" applyNumberFormat="0" applyBorder="0" applyAlignment="0" applyProtection="0">
      <alignment vertical="center"/>
    </xf>
    <xf numFmtId="0" fontId="37" fillId="13" borderId="0" applyNumberFormat="0" applyBorder="0" applyAlignment="0" applyProtection="0">
      <alignment vertical="center"/>
    </xf>
    <xf numFmtId="0" fontId="38" fillId="14"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9" fillId="19" borderId="0" applyNumberFormat="0" applyBorder="0" applyAlignment="0" applyProtection="0">
      <alignment vertical="center"/>
    </xf>
    <xf numFmtId="0" fontId="39" fillId="20"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39" fillId="23" borderId="0" applyNumberFormat="0" applyBorder="0" applyAlignment="0" applyProtection="0">
      <alignment vertical="center"/>
    </xf>
    <xf numFmtId="0" fontId="39" fillId="24" borderId="0" applyNumberFormat="0" applyBorder="0" applyAlignment="0" applyProtection="0">
      <alignment vertical="center"/>
    </xf>
    <xf numFmtId="0" fontId="38" fillId="25" borderId="0" applyNumberFormat="0" applyBorder="0" applyAlignment="0" applyProtection="0">
      <alignment vertical="center"/>
    </xf>
    <xf numFmtId="0" fontId="38" fillId="26" borderId="0" applyNumberFormat="0" applyBorder="0" applyAlignment="0" applyProtection="0">
      <alignment vertical="center"/>
    </xf>
    <xf numFmtId="0" fontId="39" fillId="27" borderId="0" applyNumberFormat="0" applyBorder="0" applyAlignment="0" applyProtection="0">
      <alignment vertical="center"/>
    </xf>
    <xf numFmtId="0" fontId="39" fillId="28" borderId="0" applyNumberFormat="0" applyBorder="0" applyAlignment="0" applyProtection="0">
      <alignment vertical="center"/>
    </xf>
    <xf numFmtId="0" fontId="38" fillId="29" borderId="0" applyNumberFormat="0" applyBorder="0" applyAlignment="0" applyProtection="0">
      <alignment vertical="center"/>
    </xf>
    <xf numFmtId="0" fontId="38" fillId="30" borderId="0" applyNumberFormat="0" applyBorder="0" applyAlignment="0" applyProtection="0">
      <alignment vertical="center"/>
    </xf>
    <xf numFmtId="0" fontId="39" fillId="31" borderId="0" applyNumberFormat="0" applyBorder="0" applyAlignment="0" applyProtection="0">
      <alignment vertical="center"/>
    </xf>
    <xf numFmtId="0" fontId="39" fillId="32" borderId="0" applyNumberFormat="0" applyBorder="0" applyAlignment="0" applyProtection="0">
      <alignment vertical="center"/>
    </xf>
    <xf numFmtId="0" fontId="38" fillId="33" borderId="0" applyNumberFormat="0" applyBorder="0" applyAlignment="0" applyProtection="0">
      <alignment vertical="center"/>
    </xf>
    <xf numFmtId="0" fontId="38" fillId="34" borderId="0" applyNumberFormat="0" applyBorder="0" applyAlignment="0" applyProtection="0">
      <alignment vertical="center"/>
    </xf>
    <xf numFmtId="0" fontId="39" fillId="35" borderId="0" applyNumberFormat="0" applyBorder="0" applyAlignment="0" applyProtection="0">
      <alignment vertical="center"/>
    </xf>
    <xf numFmtId="0" fontId="39" fillId="36" borderId="0" applyNumberFormat="0" applyBorder="0" applyAlignment="0" applyProtection="0">
      <alignment vertical="center"/>
    </xf>
    <xf numFmtId="0" fontId="38" fillId="37" borderId="0" applyNumberFormat="0" applyBorder="0" applyAlignment="0" applyProtection="0">
      <alignment vertical="center"/>
    </xf>
  </cellStyleXfs>
  <cellXfs count="124">
    <xf numFmtId="0" fontId="0" fillId="0" borderId="0" xfId="0"/>
    <xf numFmtId="0" fontId="1" fillId="0" borderId="0" xfId="0" applyFont="1"/>
    <xf numFmtId="0" fontId="0" fillId="2" borderId="0" xfId="0" applyFill="1"/>
    <xf numFmtId="0" fontId="0" fillId="0" borderId="1" xfId="0" applyBorder="1"/>
    <xf numFmtId="0" fontId="0" fillId="0" borderId="2" xfId="0" applyBorder="1"/>
    <xf numFmtId="0" fontId="2" fillId="0" borderId="0" xfId="0" applyFont="1"/>
    <xf numFmtId="0" fontId="0" fillId="2" borderId="1" xfId="0" applyFill="1" applyBorder="1"/>
    <xf numFmtId="0" fontId="3" fillId="0" borderId="0" xfId="0" applyFont="1"/>
    <xf numFmtId="0" fontId="2" fillId="2" borderId="0" xfId="0" applyFont="1" applyFill="1"/>
    <xf numFmtId="0" fontId="0" fillId="2" borderId="3" xfId="0" applyFill="1" applyBorder="1"/>
    <xf numFmtId="0" fontId="0" fillId="2" borderId="2"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0" borderId="10" xfId="0" applyBorder="1"/>
    <xf numFmtId="0" fontId="4" fillId="0" borderId="0" xfId="0" applyFont="1"/>
    <xf numFmtId="0" fontId="5" fillId="2" borderId="0" xfId="0" applyFont="1" applyFill="1" applyAlignment="1">
      <alignment vertical="center" wrapText="1"/>
    </xf>
    <xf numFmtId="0" fontId="6" fillId="2" borderId="0" xfId="0" applyFont="1" applyFill="1" applyAlignment="1">
      <alignment vertical="center" wrapText="1"/>
    </xf>
    <xf numFmtId="0" fontId="0" fillId="2" borderId="11" xfId="0" applyFill="1" applyBorder="1"/>
    <xf numFmtId="0" fontId="0" fillId="3" borderId="0" xfId="0" applyFill="1"/>
    <xf numFmtId="0" fontId="0" fillId="2" borderId="12" xfId="0" applyFill="1" applyBorder="1"/>
    <xf numFmtId="0" fontId="5" fillId="0" borderId="0" xfId="0" applyFont="1" applyAlignment="1">
      <alignment vertical="center" wrapText="1"/>
    </xf>
    <xf numFmtId="0" fontId="0" fillId="2" borderId="13" xfId="0" applyFill="1" applyBorder="1"/>
    <xf numFmtId="0" fontId="0" fillId="0" borderId="4" xfId="0" applyBorder="1"/>
    <xf numFmtId="0" fontId="0" fillId="0" borderId="6" xfId="0" applyBorder="1"/>
    <xf numFmtId="0" fontId="0" fillId="0" borderId="7" xfId="0" applyBorder="1"/>
    <xf numFmtId="0" fontId="0" fillId="0" borderId="9" xfId="0" applyBorder="1"/>
    <xf numFmtId="0" fontId="0" fillId="4" borderId="0" xfId="0" applyFill="1"/>
    <xf numFmtId="0" fontId="0" fillId="4" borderId="1" xfId="0" applyFill="1" applyBorder="1"/>
    <xf numFmtId="0" fontId="7" fillId="0" borderId="0" xfId="0" applyFont="1" applyAlignment="1">
      <alignment vertical="center" wrapText="1"/>
    </xf>
    <xf numFmtId="0" fontId="4" fillId="5" borderId="1" xfId="0" applyFont="1" applyFill="1" applyBorder="1"/>
    <xf numFmtId="0" fontId="4" fillId="5" borderId="3" xfId="0" applyFont="1" applyFill="1" applyBorder="1"/>
    <xf numFmtId="0" fontId="4" fillId="5" borderId="2" xfId="0" applyFont="1" applyFill="1" applyBorder="1"/>
    <xf numFmtId="0" fontId="0" fillId="3" borderId="1" xfId="0" applyFill="1" applyBorder="1"/>
    <xf numFmtId="0" fontId="8" fillId="0" borderId="1" xfId="0" applyFont="1" applyBorder="1"/>
    <xf numFmtId="0" fontId="8" fillId="4" borderId="3" xfId="0" applyFont="1" applyFill="1" applyBorder="1"/>
    <xf numFmtId="0" fontId="8" fillId="0" borderId="3" xfId="0" applyFont="1" applyBorder="1"/>
    <xf numFmtId="0" fontId="1" fillId="0" borderId="3" xfId="0" applyFont="1" applyBorder="1"/>
    <xf numFmtId="0" fontId="0" fillId="4" borderId="2" xfId="0" applyFill="1" applyBorder="1"/>
    <xf numFmtId="0" fontId="2" fillId="4" borderId="2" xfId="0" applyFont="1" applyFill="1" applyBorder="1"/>
    <xf numFmtId="0" fontId="1" fillId="4" borderId="2" xfId="0" applyFont="1" applyFill="1" applyBorder="1"/>
    <xf numFmtId="0" fontId="0" fillId="3" borderId="2" xfId="0" applyFill="1" applyBorder="1"/>
    <xf numFmtId="0" fontId="4" fillId="5" borderId="0" xfId="0" applyFont="1" applyFill="1"/>
    <xf numFmtId="0" fontId="7" fillId="0" borderId="0" xfId="0" applyFont="1" applyAlignment="1">
      <alignment horizontal="justify" vertical="center"/>
    </xf>
    <xf numFmtId="0" fontId="0" fillId="5" borderId="0" xfId="0" applyFill="1"/>
    <xf numFmtId="0" fontId="2" fillId="0" borderId="4" xfId="0" applyFont="1" applyBorder="1"/>
    <xf numFmtId="0" fontId="2" fillId="0" borderId="5" xfId="0" applyFont="1" applyBorder="1"/>
    <xf numFmtId="0" fontId="2" fillId="0" borderId="6" xfId="0" applyFont="1" applyBorder="1"/>
    <xf numFmtId="0" fontId="0" fillId="0" borderId="14" xfId="0" applyBorder="1"/>
    <xf numFmtId="0" fontId="0" fillId="0" borderId="15" xfId="0" applyBorder="1"/>
    <xf numFmtId="0" fontId="0" fillId="0" borderId="8" xfId="0" applyBorder="1"/>
    <xf numFmtId="0" fontId="9" fillId="0" borderId="0" xfId="0" applyFont="1"/>
    <xf numFmtId="0" fontId="9" fillId="5" borderId="0" xfId="0" applyFont="1" applyFill="1"/>
    <xf numFmtId="0" fontId="10" fillId="5" borderId="1" xfId="0" applyFont="1" applyFill="1" applyBorder="1"/>
    <xf numFmtId="0" fontId="0" fillId="5" borderId="3" xfId="0" applyFill="1" applyBorder="1"/>
    <xf numFmtId="0" fontId="2" fillId="0" borderId="16" xfId="0" applyFont="1" applyBorder="1"/>
    <xf numFmtId="0" fontId="11" fillId="5" borderId="2" xfId="0" applyFont="1" applyFill="1" applyBorder="1"/>
    <xf numFmtId="0" fontId="0" fillId="0" borderId="11" xfId="0" applyBorder="1"/>
    <xf numFmtId="0" fontId="0" fillId="0" borderId="12" xfId="0" applyBorder="1"/>
    <xf numFmtId="0" fontId="0" fillId="0" borderId="13" xfId="0" applyBorder="1"/>
    <xf numFmtId="0" fontId="2" fillId="3" borderId="0" xfId="0" applyFont="1" applyFill="1"/>
    <xf numFmtId="0" fontId="2" fillId="3" borderId="4" xfId="0" applyFont="1" applyFill="1" applyBorder="1"/>
    <xf numFmtId="0" fontId="2" fillId="3" borderId="7" xfId="0" applyFont="1" applyFill="1" applyBorder="1"/>
    <xf numFmtId="0" fontId="0" fillId="0" borderId="5" xfId="0" applyBorder="1"/>
    <xf numFmtId="0" fontId="2" fillId="0" borderId="9" xfId="0" applyFont="1" applyBorder="1"/>
    <xf numFmtId="0" fontId="12" fillId="0" borderId="17" xfId="0" applyFont="1" applyBorder="1"/>
    <xf numFmtId="0" fontId="12" fillId="0" borderId="18" xfId="0" applyFont="1" applyBorder="1"/>
    <xf numFmtId="0" fontId="0" fillId="3" borderId="7" xfId="0" applyFill="1" applyBorder="1"/>
    <xf numFmtId="0" fontId="0" fillId="3" borderId="14" xfId="0" applyFill="1" applyBorder="1"/>
    <xf numFmtId="0" fontId="2" fillId="0" borderId="14" xfId="0" applyFont="1" applyBorder="1"/>
    <xf numFmtId="0" fontId="8" fillId="0" borderId="0" xfId="0" applyFont="1"/>
    <xf numFmtId="0" fontId="13" fillId="0" borderId="0" xfId="0" applyFont="1" applyAlignment="1">
      <alignment vertical="center"/>
    </xf>
    <xf numFmtId="0" fontId="14" fillId="0" borderId="0" xfId="0" applyFont="1" applyAlignment="1">
      <alignment horizontal="justify" vertical="center"/>
    </xf>
    <xf numFmtId="0" fontId="0" fillId="6" borderId="0" xfId="0" applyFill="1"/>
    <xf numFmtId="0" fontId="15" fillId="0" borderId="0" xfId="0" applyFont="1" applyAlignment="1">
      <alignment horizontal="justify" vertical="center"/>
    </xf>
    <xf numFmtId="0" fontId="1" fillId="5" borderId="0" xfId="0" applyFont="1" applyFill="1"/>
    <xf numFmtId="0" fontId="2" fillId="3" borderId="5" xfId="0" applyFont="1" applyFill="1" applyBorder="1"/>
    <xf numFmtId="0" fontId="2" fillId="3" borderId="8" xfId="0" applyFont="1" applyFill="1" applyBorder="1"/>
    <xf numFmtId="0" fontId="12" fillId="0" borderId="19" xfId="0" applyFont="1" applyBorder="1"/>
    <xf numFmtId="0" fontId="12" fillId="0" borderId="20" xfId="0" applyFont="1" applyBorder="1"/>
    <xf numFmtId="0" fontId="0" fillId="3" borderId="8" xfId="0" applyFill="1" applyBorder="1"/>
    <xf numFmtId="0" fontId="2" fillId="3" borderId="6" xfId="0" applyFont="1" applyFill="1" applyBorder="1"/>
    <xf numFmtId="0" fontId="2" fillId="3" borderId="9" xfId="0" applyFont="1" applyFill="1" applyBorder="1"/>
    <xf numFmtId="0" fontId="16" fillId="0" borderId="0" xfId="0" applyFont="1" applyAlignment="1">
      <alignment vertical="center"/>
    </xf>
    <xf numFmtId="0" fontId="2" fillId="0" borderId="15" xfId="0" applyFont="1" applyBorder="1"/>
    <xf numFmtId="3" fontId="0" fillId="2" borderId="0" xfId="0" applyNumberFormat="1" applyFill="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3" borderId="27" xfId="0" applyFill="1" applyBorder="1"/>
    <xf numFmtId="0" fontId="17" fillId="0" borderId="27" xfId="0" applyFont="1" applyBorder="1" applyAlignment="1">
      <alignment horizontal="left" vertical="center" wrapText="1" indent="1"/>
    </xf>
    <xf numFmtId="0" fontId="17" fillId="0" borderId="2" xfId="0" applyFont="1" applyBorder="1" applyAlignment="1">
      <alignment horizontal="center" vertical="center" wrapText="1"/>
    </xf>
    <xf numFmtId="0" fontId="17" fillId="0" borderId="13" xfId="0" applyFont="1" applyBorder="1" applyAlignment="1">
      <alignment horizontal="left" vertical="center" wrapText="1" indent="1"/>
    </xf>
    <xf numFmtId="0" fontId="14" fillId="2" borderId="9" xfId="0" applyFont="1" applyFill="1" applyBorder="1" applyAlignment="1">
      <alignment horizontal="center" vertical="center" wrapText="1"/>
    </xf>
    <xf numFmtId="0" fontId="14" fillId="0" borderId="9" xfId="0" applyFont="1" applyBorder="1" applyAlignment="1">
      <alignment horizontal="center" vertical="center" wrapText="1"/>
    </xf>
    <xf numFmtId="3" fontId="0" fillId="0" borderId="0" xfId="0" applyNumberFormat="1"/>
    <xf numFmtId="3" fontId="0" fillId="3" borderId="0" xfId="0" applyNumberFormat="1" applyFill="1"/>
    <xf numFmtId="3" fontId="0" fillId="2" borderId="2" xfId="0" applyNumberFormat="1" applyFill="1" applyBorder="1"/>
    <xf numFmtId="3" fontId="0" fillId="2" borderId="1" xfId="0" applyNumberFormat="1" applyFill="1" applyBorder="1"/>
    <xf numFmtId="3" fontId="1" fillId="0" borderId="0" xfId="0" applyNumberFormat="1" applyFont="1"/>
    <xf numFmtId="0" fontId="14" fillId="3" borderId="9" xfId="0" applyFont="1" applyFill="1" applyBorder="1" applyAlignment="1">
      <alignment horizontal="center" vertical="center" wrapText="1"/>
    </xf>
    <xf numFmtId="0" fontId="18" fillId="0" borderId="9" xfId="0" applyFont="1" applyBorder="1" applyAlignment="1">
      <alignment horizontal="center" vertical="center" wrapText="1"/>
    </xf>
    <xf numFmtId="0" fontId="0" fillId="0" borderId="3" xfId="0" applyBorder="1"/>
    <xf numFmtId="0" fontId="3" fillId="3" borderId="0" xfId="0" applyFont="1" applyFill="1"/>
    <xf numFmtId="0" fontId="4" fillId="3" borderId="0" xfId="0" applyFont="1" applyFill="1"/>
    <xf numFmtId="0" fontId="2" fillId="2" borderId="6" xfId="0" applyFont="1" applyFill="1" applyBorder="1"/>
    <xf numFmtId="0" fontId="2" fillId="0" borderId="7" xfId="0" applyFont="1" applyBorder="1"/>
    <xf numFmtId="0" fontId="2" fillId="0" borderId="2" xfId="0" applyFont="1" applyBorder="1"/>
    <xf numFmtId="0" fontId="2" fillId="0" borderId="1" xfId="0" applyFont="1" applyBorder="1"/>
    <xf numFmtId="0" fontId="0" fillId="0" borderId="0" xfId="0" applyAlignment="1">
      <alignment horizontal="left"/>
    </xf>
    <xf numFmtId="178" fontId="0" fillId="0" borderId="0" xfId="0" applyNumberFormat="1" applyAlignment="1">
      <alignment horizontal="right"/>
    </xf>
    <xf numFmtId="0" fontId="19" fillId="0" borderId="0" xfId="0" applyFont="1"/>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vertical="center" wrapText="1"/>
    </xf>
    <xf numFmtId="0" fontId="0" fillId="3" borderId="0" xfId="0" applyFill="1" applyAlignment="1">
      <alignment vertical="center" wrapText="1"/>
    </xf>
    <xf numFmtId="178" fontId="0" fillId="3" borderId="0" xfId="0" applyNumberFormat="1" applyFill="1" applyAlignment="1">
      <alignment horizontal="right"/>
    </xf>
    <xf numFmtId="0" fontId="19" fillId="3" borderId="0" xfId="0" applyFont="1" applyFill="1"/>
  </cellXfs>
  <cellStyles count="49">
    <cellStyle name="Normal" xfId="0" builtinId="0"/>
    <cellStyle name="Comma" xfId="1" builtinId="3"/>
    <cellStyle name="Currency" xfId="2" builtinId="4"/>
    <cellStyle name="Percent" xfId="3" builtinId="5"/>
    <cellStyle name="Comma [0]" xfId="4" builtinId="6"/>
    <cellStyle name="Currency [0]" xfId="5" builtinId="7"/>
    <cellStyle name="Hyperlink" xfId="6" builtinId="8"/>
    <cellStyle name="Followed Hyperlink" xfId="7" builtinId="9"/>
    <cellStyle name="Note" xfId="8" builtinId="10"/>
    <cellStyle name="Warning Text" xfId="9" builtinId="11"/>
    <cellStyle name="Title" xfId="10" builtinId="15"/>
    <cellStyle name="CExplanatory Text" xfId="11" builtinId="53"/>
    <cellStyle name="Heading 1" xfId="12" builtinId="16"/>
    <cellStyle name="Heading 2" xfId="13" builtinId="17"/>
    <cellStyle name="Heading 3" xfId="14" builtinId="18"/>
    <cellStyle name="Heading 4" xfId="15" builtinId="19"/>
    <cellStyle name="Input" xfId="16" builtinId="20"/>
    <cellStyle name="Output" xfId="17" builtinId="21"/>
    <cellStyle name="Calculation" xfId="18" builtinId="22"/>
    <cellStyle name="Check Cell" xfId="19" builtinId="23"/>
    <cellStyle name="Linked Cell" xfId="20" builtinId="24"/>
    <cellStyle name="Total" xfId="21" builtinId="25"/>
    <cellStyle name="Good" xfId="22" builtinId="26"/>
    <cellStyle name="Bad" xfId="23" builtinId="27"/>
    <cellStyle name="Neutral" xfId="24" builtinId="28"/>
    <cellStyle name="Accent1" xfId="25" builtinId="29"/>
    <cellStyle name="20% - Accent1" xfId="26" builtinId="30"/>
    <cellStyle name="40% - Accent1" xfId="27" builtinId="31"/>
    <cellStyle name="60% - Accent1" xfId="28" builtinId="32"/>
    <cellStyle name="Accent2" xfId="29" builtinId="33"/>
    <cellStyle name="20% - Accent2" xfId="30" builtinId="34"/>
    <cellStyle name="40% - Accent2" xfId="31" builtinId="35"/>
    <cellStyle name="60% - Accent2" xfId="32" builtinId="36"/>
    <cellStyle name="Accent3" xfId="33" builtinId="37"/>
    <cellStyle name="20% - Accent3" xfId="34" builtinId="38"/>
    <cellStyle name="40% - Accent3" xfId="35" builtinId="39"/>
    <cellStyle name="60% - Accent3" xfId="36" builtinId="40"/>
    <cellStyle name="Accent4" xfId="37" builtinId="41"/>
    <cellStyle name="20% - Accent4" xfId="38" builtinId="42"/>
    <cellStyle name="40% - Accent4" xfId="39" builtinId="43"/>
    <cellStyle name="60% - Accent4" xfId="40" builtinId="44"/>
    <cellStyle name="Accent5" xfId="41" builtinId="45"/>
    <cellStyle name="20% - Accent5" xfId="42" builtinId="46"/>
    <cellStyle name="40% - Accent5" xfId="43" builtinId="47"/>
    <cellStyle name="60% - Accent5" xfId="44" builtinId="48"/>
    <cellStyle name="Accent6" xfId="45" builtinId="49"/>
    <cellStyle name="20% - Accent6" xfId="46" builtinId="50"/>
    <cellStyle name="40% - Accent6" xfId="47" builtinId="51"/>
    <cellStyle name="60% - Accent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charts/_rels/chart1.xml.rels><?xml version="1.0" encoding="UTF-8" standalone="yes"?>
<Relationships xmlns="http://schemas.openxmlformats.org/package/2006/relationships"><Relationship Id="rId3" Type="http://schemas.microsoft.com/office/2011/relationships/chartColorStyle" Target="colors1.xml"/><Relationship Id="rId2" Type="http://schemas.microsoft.com/office/2011/relationships/chartStyle" Target="style1.xml"/><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3" Type="http://schemas.microsoft.com/office/2011/relationships/chartColorStyle" Target="colors2.xml"/><Relationship Id="rId2" Type="http://schemas.microsoft.com/office/2011/relationships/chartStyle" Target="style2.xml"/><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865799190142909"/>
          <c:y val="0.0462962962962963"/>
          <c:w val="0.886753454019247"/>
          <c:h val="0.841674686497521"/>
        </c:manualLayout>
      </c:layout>
      <c:scatterChart>
        <c:scatterStyle val="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dLbls>
            <c:delete val="1"/>
          </c:dLbls>
          <c:trendline>
            <c:spPr>
              <a:ln w="19050" cap="rnd">
                <a:solidFill>
                  <a:schemeClr val="accent1"/>
                </a:solidFill>
                <a:prstDash val="sysDot"/>
              </a:ln>
              <a:effectLst/>
            </c:spPr>
            <c:trendlineType val="linear"/>
            <c:dispRSqr val="0"/>
            <c:dispEq val="0"/>
          </c:trendline>
          <c:xVal>
            <c:numRef>
              <c:f>'cv2 výd model'!$N$27:$N$36</c:f>
              <c:numCache>
                <c:formatCode>General</c:formatCode>
                <c:ptCount val="10"/>
                <c:pt idx="0">
                  <c:v>0</c:v>
                </c:pt>
                <c:pt idx="1">
                  <c:v>10</c:v>
                </c:pt>
                <c:pt idx="2">
                  <c:v>20</c:v>
                </c:pt>
                <c:pt idx="3">
                  <c:v>30</c:v>
                </c:pt>
                <c:pt idx="4">
                  <c:v>40</c:v>
                </c:pt>
                <c:pt idx="5">
                  <c:v>50</c:v>
                </c:pt>
                <c:pt idx="6">
                  <c:v>60</c:v>
                </c:pt>
                <c:pt idx="7">
                  <c:v>100</c:v>
                </c:pt>
                <c:pt idx="8">
                  <c:v>200</c:v>
                </c:pt>
                <c:pt idx="9">
                  <c:v>300</c:v>
                </c:pt>
              </c:numCache>
            </c:numRef>
          </c:xVal>
          <c:yVal>
            <c:numRef>
              <c:f>'cv2 výd model'!$O$27:$O$36</c:f>
              <c:numCache>
                <c:formatCode>General</c:formatCode>
                <c:ptCount val="10"/>
                <c:pt idx="0">
                  <c:v>0</c:v>
                </c:pt>
                <c:pt idx="1">
                  <c:v>10</c:v>
                </c:pt>
                <c:pt idx="2">
                  <c:v>20</c:v>
                </c:pt>
                <c:pt idx="3">
                  <c:v>30</c:v>
                </c:pt>
                <c:pt idx="4">
                  <c:v>40</c:v>
                </c:pt>
                <c:pt idx="5">
                  <c:v>50</c:v>
                </c:pt>
                <c:pt idx="6">
                  <c:v>60</c:v>
                </c:pt>
                <c:pt idx="7">
                  <c:v>100</c:v>
                </c:pt>
                <c:pt idx="8">
                  <c:v>200</c:v>
                </c:pt>
                <c:pt idx="9">
                  <c:v>300</c:v>
                </c:pt>
              </c:numCache>
            </c:numRef>
          </c:yVal>
          <c:smooth val="0"/>
        </c:ser>
        <c:ser>
          <c:idx val="1"/>
          <c:order val="1"/>
          <c:spPr>
            <a:ln w="25400" cap="rnd">
              <a:noFill/>
              <a:round/>
            </a:ln>
            <a:effectLst/>
          </c:spPr>
          <c:marker>
            <c:symbol val="circle"/>
            <c:size val="5"/>
            <c:spPr>
              <a:solidFill>
                <a:schemeClr val="accent2"/>
              </a:solidFill>
              <a:ln w="9525">
                <a:solidFill>
                  <a:schemeClr val="accent2"/>
                </a:solidFill>
              </a:ln>
              <a:effectLst/>
            </c:spPr>
          </c:marker>
          <c:dLbls>
            <c:delete val="1"/>
          </c:dLbls>
          <c:trendline>
            <c:spPr>
              <a:ln w="28575" cap="flat" cmpd="sng" algn="ctr">
                <a:solidFill>
                  <a:schemeClr val="accent4"/>
                </a:solidFill>
                <a:prstDash val="solid"/>
                <a:miter lim="800000"/>
              </a:ln>
              <a:effectLst/>
            </c:spPr>
            <c:trendlineType val="linear"/>
            <c:dispRSqr val="0"/>
            <c:dispEq val="0"/>
          </c:trendline>
          <c:xVal>
            <c:numRef>
              <c:f>'cv2 výd model'!$N$27:$N$36</c:f>
              <c:numCache>
                <c:formatCode>General</c:formatCode>
                <c:ptCount val="10"/>
                <c:pt idx="0">
                  <c:v>0</c:v>
                </c:pt>
                <c:pt idx="1">
                  <c:v>10</c:v>
                </c:pt>
                <c:pt idx="2">
                  <c:v>20</c:v>
                </c:pt>
                <c:pt idx="3">
                  <c:v>30</c:v>
                </c:pt>
                <c:pt idx="4">
                  <c:v>40</c:v>
                </c:pt>
                <c:pt idx="5">
                  <c:v>50</c:v>
                </c:pt>
                <c:pt idx="6">
                  <c:v>60</c:v>
                </c:pt>
                <c:pt idx="7">
                  <c:v>100</c:v>
                </c:pt>
                <c:pt idx="8">
                  <c:v>200</c:v>
                </c:pt>
                <c:pt idx="9">
                  <c:v>300</c:v>
                </c:pt>
              </c:numCache>
            </c:numRef>
          </c:xVal>
          <c:yVal>
            <c:numRef>
              <c:f>'cv2 výd model'!$P$27:$P$36</c:f>
              <c:numCache>
                <c:formatCode>General</c:formatCode>
                <c:ptCount val="10"/>
                <c:pt idx="0">
                  <c:v>30</c:v>
                </c:pt>
                <c:pt idx="1">
                  <c:v>38</c:v>
                </c:pt>
                <c:pt idx="2">
                  <c:v>46</c:v>
                </c:pt>
                <c:pt idx="3">
                  <c:v>54</c:v>
                </c:pt>
                <c:pt idx="4">
                  <c:v>62</c:v>
                </c:pt>
                <c:pt idx="5">
                  <c:v>70</c:v>
                </c:pt>
                <c:pt idx="6">
                  <c:v>78</c:v>
                </c:pt>
                <c:pt idx="7">
                  <c:v>110</c:v>
                </c:pt>
                <c:pt idx="8">
                  <c:v>190</c:v>
                </c:pt>
                <c:pt idx="9">
                  <c:v>270</c:v>
                </c:pt>
              </c:numCache>
            </c:numRef>
          </c:yVal>
          <c:smooth val="0"/>
        </c:ser>
        <c:dLbls>
          <c:showLegendKey val="0"/>
          <c:showVal val="0"/>
          <c:showCatName val="0"/>
          <c:showSerName val="0"/>
          <c:showPercent val="0"/>
          <c:showBubbleSize val="0"/>
        </c:dLbls>
        <c:axId val="205746128"/>
        <c:axId val="205487232"/>
      </c:scatterChart>
      <c:valAx>
        <c:axId val="2057461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p>
        </c:txPr>
        <c:crossAx val="205487232"/>
        <c:crosses val="autoZero"/>
        <c:crossBetween val="midCat"/>
      </c:valAx>
      <c:valAx>
        <c:axId val="2054872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p>
        </c:txPr>
        <c:crossAx val="20574612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n-US"/>
      </a:pPr>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249114515797459"/>
          <c:y val="0.0160525520092332"/>
          <c:w val="0.966265843175193"/>
          <c:h val="0.904854968456316"/>
        </c:manualLayout>
      </c:layout>
      <c:scatterChart>
        <c:scatterStyle val="lineMarker"/>
        <c:varyColors val="0"/>
        <c:ser>
          <c:idx val="0"/>
          <c:order val="0"/>
          <c:tx>
            <c:strRef>
              <c:f>'cv2 výd model'!$AB$26:$AB$27</c:f>
              <c:strCache>
                <c:ptCount val="1"/>
                <c:pt idx="0">
                  <c:v>AE=Y</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dLbls>
            <c:delete val="1"/>
          </c:dLbls>
          <c:xVal>
            <c:numRef>
              <c:f>'cv2 výd model'!$AA$28:$AA$39</c:f>
              <c:numCache>
                <c:formatCode>General</c:formatCode>
                <c:ptCount val="12"/>
                <c:pt idx="0">
                  <c:v>0</c:v>
                </c:pt>
                <c:pt idx="1">
                  <c:v>10</c:v>
                </c:pt>
                <c:pt idx="2">
                  <c:v>20</c:v>
                </c:pt>
                <c:pt idx="3">
                  <c:v>30</c:v>
                </c:pt>
                <c:pt idx="4">
                  <c:v>40</c:v>
                </c:pt>
                <c:pt idx="5">
                  <c:v>50</c:v>
                </c:pt>
                <c:pt idx="6">
                  <c:v>60</c:v>
                </c:pt>
                <c:pt idx="7">
                  <c:v>100</c:v>
                </c:pt>
                <c:pt idx="8">
                  <c:v>200</c:v>
                </c:pt>
                <c:pt idx="9">
                  <c:v>300</c:v>
                </c:pt>
                <c:pt idx="10">
                  <c:v>130</c:v>
                </c:pt>
                <c:pt idx="11">
                  <c:v>150</c:v>
                </c:pt>
              </c:numCache>
            </c:numRef>
          </c:xVal>
          <c:yVal>
            <c:numRef>
              <c:f>'cv2 výd model'!$AB$28:$AB$39</c:f>
              <c:numCache>
                <c:formatCode>General</c:formatCode>
                <c:ptCount val="12"/>
                <c:pt idx="0">
                  <c:v>0</c:v>
                </c:pt>
                <c:pt idx="1">
                  <c:v>10</c:v>
                </c:pt>
                <c:pt idx="2">
                  <c:v>20</c:v>
                </c:pt>
                <c:pt idx="3">
                  <c:v>30</c:v>
                </c:pt>
                <c:pt idx="4">
                  <c:v>40</c:v>
                </c:pt>
                <c:pt idx="5">
                  <c:v>50</c:v>
                </c:pt>
                <c:pt idx="6">
                  <c:v>60</c:v>
                </c:pt>
                <c:pt idx="7">
                  <c:v>100</c:v>
                </c:pt>
                <c:pt idx="8">
                  <c:v>200</c:v>
                </c:pt>
                <c:pt idx="9">
                  <c:v>300</c:v>
                </c:pt>
                <c:pt idx="10">
                  <c:v>130</c:v>
                </c:pt>
                <c:pt idx="11">
                  <c:v>150</c:v>
                </c:pt>
              </c:numCache>
            </c:numRef>
          </c:yVal>
          <c:smooth val="0"/>
        </c:ser>
        <c:ser>
          <c:idx val="1"/>
          <c:order val="1"/>
          <c:tx>
            <c:strRef>
              <c:f>"AE1"</c:f>
              <c:strCache>
                <c:ptCount val="1"/>
                <c:pt idx="0">
                  <c:v>AE1</c:v>
                </c:pt>
              </c:strCache>
            </c:strRef>
          </c:tx>
          <c:spPr>
            <a:ln w="28575" cap="rnd">
              <a:solidFill>
                <a:schemeClr val="accent2"/>
              </a:solidFill>
              <a:round/>
            </a:ln>
            <a:effectLst/>
          </c:spPr>
          <c:marker>
            <c:symbol val="circle"/>
            <c:size val="5"/>
            <c:spPr>
              <a:solidFill>
                <a:schemeClr val="accent2"/>
              </a:solidFill>
              <a:ln w="28575">
                <a:solidFill>
                  <a:schemeClr val="accent2"/>
                </a:solidFill>
              </a:ln>
              <a:effectLst/>
            </c:spPr>
          </c:marker>
          <c:dLbls>
            <c:dLbl>
              <c:idx val="8"/>
              <c:layout>
                <c:manualLayout>
                  <c:x val="-0.0206218717328679"/>
                  <c:y val="-0.0573081483445037"/>
                </c:manualLayout>
              </c:layout>
              <c:dLblPos val="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lang="en-US" sz="1050" b="0" i="0" u="none" strike="noStrike" kern="1200" baseline="0">
                    <a:solidFill>
                      <a:schemeClr val="tx1">
                        <a:lumMod val="75000"/>
                        <a:lumOff val="25000"/>
                      </a:schemeClr>
                    </a:solidFill>
                    <a:latin typeface="+mn-lt"/>
                    <a:ea typeface="+mn-ea"/>
                    <a:cs typeface="+mn-cs"/>
                  </a:defRPr>
                </a:pPr>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numRef>
              <c:f>'cv2 výd model'!$AA$28:$AA$39</c:f>
              <c:numCache>
                <c:formatCode>General</c:formatCode>
                <c:ptCount val="12"/>
                <c:pt idx="0">
                  <c:v>0</c:v>
                </c:pt>
                <c:pt idx="1">
                  <c:v>10</c:v>
                </c:pt>
                <c:pt idx="2">
                  <c:v>20</c:v>
                </c:pt>
                <c:pt idx="3">
                  <c:v>30</c:v>
                </c:pt>
                <c:pt idx="4">
                  <c:v>40</c:v>
                </c:pt>
                <c:pt idx="5">
                  <c:v>50</c:v>
                </c:pt>
                <c:pt idx="6">
                  <c:v>60</c:v>
                </c:pt>
                <c:pt idx="7">
                  <c:v>100</c:v>
                </c:pt>
                <c:pt idx="8">
                  <c:v>200</c:v>
                </c:pt>
                <c:pt idx="9">
                  <c:v>300</c:v>
                </c:pt>
                <c:pt idx="10">
                  <c:v>130</c:v>
                </c:pt>
                <c:pt idx="11">
                  <c:v>150</c:v>
                </c:pt>
              </c:numCache>
            </c:numRef>
          </c:xVal>
          <c:yVal>
            <c:numRef>
              <c:f>'cv2 výd model'!$AC$28:$AC$39</c:f>
              <c:numCache>
                <c:formatCode>General</c:formatCode>
                <c:ptCount val="12"/>
                <c:pt idx="0">
                  <c:v>30</c:v>
                </c:pt>
                <c:pt idx="1">
                  <c:v>38</c:v>
                </c:pt>
                <c:pt idx="2">
                  <c:v>46</c:v>
                </c:pt>
                <c:pt idx="3">
                  <c:v>54</c:v>
                </c:pt>
                <c:pt idx="4">
                  <c:v>62</c:v>
                </c:pt>
                <c:pt idx="5">
                  <c:v>70</c:v>
                </c:pt>
                <c:pt idx="6">
                  <c:v>78</c:v>
                </c:pt>
                <c:pt idx="7">
                  <c:v>110</c:v>
                </c:pt>
                <c:pt idx="8">
                  <c:v>190</c:v>
                </c:pt>
                <c:pt idx="9">
                  <c:v>270</c:v>
                </c:pt>
                <c:pt idx="10">
                  <c:v>134</c:v>
                </c:pt>
                <c:pt idx="11">
                  <c:v>150</c:v>
                </c:pt>
              </c:numCache>
            </c:numRef>
          </c:yVal>
          <c:smooth val="0"/>
        </c:ser>
        <c:ser>
          <c:idx val="2"/>
          <c:order val="2"/>
          <c:tx>
            <c:strRef>
              <c:f>"AE2"</c:f>
              <c:strCache>
                <c:ptCount val="1"/>
                <c:pt idx="0">
                  <c:v>AE2</c:v>
                </c:pt>
              </c:strCache>
            </c:strRef>
          </c:tx>
          <c:spPr>
            <a:ln w="28575" cap="rnd">
              <a:solidFill>
                <a:srgbClr val="7030A0"/>
              </a:solidFill>
              <a:round/>
            </a:ln>
            <a:effectLst/>
          </c:spPr>
          <c:marker>
            <c:symbol val="circle"/>
            <c:size val="5"/>
            <c:spPr>
              <a:solidFill>
                <a:schemeClr val="accent3"/>
              </a:solidFill>
              <a:ln w="28575">
                <a:solidFill>
                  <a:srgbClr val="7030A0"/>
                </a:solidFill>
              </a:ln>
              <a:effectLst/>
            </c:spPr>
          </c:marker>
          <c:dLbls>
            <c:spPr>
              <a:noFill/>
              <a:ln>
                <a:noFill/>
              </a:ln>
              <a:effectLst/>
            </c:spPr>
            <c:txPr>
              <a:bodyPr rot="0" spcFirstLastPara="1" vertOverflow="ellipsis" vert="horz" wrap="square" lIns="38100" tIns="19050" rIns="38100" bIns="19050" anchor="ctr" anchorCtr="1">
                <a:spAutoFit/>
              </a:bodyPr>
              <a:lstStyle/>
              <a:p>
                <a:pPr>
                  <a:defRPr lang="en-US" sz="1050" b="0" i="0" u="none" strike="noStrike" kern="1200" baseline="0">
                    <a:solidFill>
                      <a:schemeClr val="tx1">
                        <a:lumMod val="75000"/>
                        <a:lumOff val="25000"/>
                      </a:schemeClr>
                    </a:solidFill>
                    <a:latin typeface="+mn-lt"/>
                    <a:ea typeface="+mn-ea"/>
                    <a:cs typeface="+mn-cs"/>
                  </a:defRPr>
                </a:pPr>
              </a:p>
            </c:txPr>
            <c:dLblPos val="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numRef>
              <c:f>'cv2 výd model'!$AA$28:$AA$39</c:f>
              <c:numCache>
                <c:formatCode>General</c:formatCode>
                <c:ptCount val="12"/>
                <c:pt idx="0">
                  <c:v>0</c:v>
                </c:pt>
                <c:pt idx="1">
                  <c:v>10</c:v>
                </c:pt>
                <c:pt idx="2">
                  <c:v>20</c:v>
                </c:pt>
                <c:pt idx="3">
                  <c:v>30</c:v>
                </c:pt>
                <c:pt idx="4">
                  <c:v>40</c:v>
                </c:pt>
                <c:pt idx="5">
                  <c:v>50</c:v>
                </c:pt>
                <c:pt idx="6">
                  <c:v>60</c:v>
                </c:pt>
                <c:pt idx="7">
                  <c:v>100</c:v>
                </c:pt>
                <c:pt idx="8">
                  <c:v>200</c:v>
                </c:pt>
                <c:pt idx="9">
                  <c:v>300</c:v>
                </c:pt>
                <c:pt idx="10">
                  <c:v>130</c:v>
                </c:pt>
                <c:pt idx="11">
                  <c:v>150</c:v>
                </c:pt>
              </c:numCache>
            </c:numRef>
          </c:xVal>
          <c:yVal>
            <c:numRef>
              <c:f>'cv2 výd model'!$AD$28:$AD$39</c:f>
              <c:numCache>
                <c:formatCode>General</c:formatCode>
                <c:ptCount val="12"/>
                <c:pt idx="0">
                  <c:v>26</c:v>
                </c:pt>
                <c:pt idx="1">
                  <c:v>34</c:v>
                </c:pt>
                <c:pt idx="2">
                  <c:v>42</c:v>
                </c:pt>
                <c:pt idx="3">
                  <c:v>50</c:v>
                </c:pt>
                <c:pt idx="4">
                  <c:v>58</c:v>
                </c:pt>
                <c:pt idx="5">
                  <c:v>66</c:v>
                </c:pt>
                <c:pt idx="6">
                  <c:v>74</c:v>
                </c:pt>
                <c:pt idx="7">
                  <c:v>106</c:v>
                </c:pt>
                <c:pt idx="8">
                  <c:v>186</c:v>
                </c:pt>
                <c:pt idx="9">
                  <c:v>266</c:v>
                </c:pt>
                <c:pt idx="10">
                  <c:v>130</c:v>
                </c:pt>
                <c:pt idx="11">
                  <c:v>146</c:v>
                </c:pt>
              </c:numCache>
            </c:numRef>
          </c:yVal>
          <c:smooth val="0"/>
        </c:ser>
        <c:dLbls>
          <c:showLegendKey val="0"/>
          <c:showVal val="0"/>
          <c:showCatName val="0"/>
          <c:showSerName val="0"/>
          <c:showPercent val="0"/>
          <c:showBubbleSize val="0"/>
        </c:dLbls>
        <c:axId val="1948127264"/>
        <c:axId val="199068064"/>
      </c:scatterChart>
      <c:valAx>
        <c:axId val="1948127264"/>
        <c:scaling>
          <c:orientation val="minMax"/>
          <c:max val="17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lang="en-US" sz="1200" b="0" i="0" u="none" strike="noStrike" kern="1200" baseline="0">
                <a:solidFill>
                  <a:schemeClr val="tx1">
                    <a:lumMod val="65000"/>
                    <a:lumOff val="35000"/>
                  </a:schemeClr>
                </a:solidFill>
                <a:latin typeface="+mn-lt"/>
                <a:ea typeface="+mn-ea"/>
                <a:cs typeface="+mn-cs"/>
              </a:defRPr>
            </a:pPr>
          </a:p>
        </c:txPr>
        <c:crossAx val="199068064"/>
        <c:crosses val="autoZero"/>
        <c:crossBetween val="midCat"/>
        <c:majorUnit val="10"/>
      </c:valAx>
      <c:valAx>
        <c:axId val="199068064"/>
        <c:scaling>
          <c:orientation val="minMax"/>
          <c:max val="17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lang="en-US" sz="1050" b="0" i="0" u="none" strike="noStrike" kern="1200" baseline="0">
                <a:solidFill>
                  <a:schemeClr val="tx1">
                    <a:lumMod val="65000"/>
                    <a:lumOff val="35000"/>
                  </a:schemeClr>
                </a:solidFill>
                <a:latin typeface="+mn-lt"/>
                <a:ea typeface="+mn-ea"/>
                <a:cs typeface="+mn-cs"/>
              </a:defRPr>
            </a:pPr>
          </a:p>
        </c:txPr>
        <c:crossAx val="1948127264"/>
        <c:crosses val="autoZero"/>
        <c:crossBetween val="midCat"/>
      </c:valAx>
      <c:spPr>
        <a:noFill/>
        <a:ln>
          <a:noFill/>
        </a:ln>
        <a:effectLst/>
      </c:spPr>
    </c:plotArea>
    <c:legend>
      <c:legendPos val="b"/>
      <c:layout>
        <c:manualLayout>
          <c:xMode val="edge"/>
          <c:yMode val="edge"/>
          <c:x val="0.439596100516563"/>
          <c:y val="0.944150732553157"/>
          <c:w val="0.204141126291344"/>
          <c:h val="0.0459571807656813"/>
        </c:manualLayout>
      </c:layout>
      <c:overlay val="0"/>
      <c:spPr>
        <a:noFill/>
        <a:ln>
          <a:noFill/>
        </a:ln>
        <a:effectLst/>
      </c:spPr>
      <c:txPr>
        <a:bodyPr rot="0" spcFirstLastPara="1" vertOverflow="ellipsis" vert="horz" wrap="square" anchor="ctr" anchorCtr="1"/>
        <a:lstStyle/>
        <a:p>
          <a:pPr>
            <a:defRPr lang="en-US" sz="1600" b="0" i="0" u="none" strike="noStrike" kern="1200" baseline="0">
              <a:solidFill>
                <a:schemeClr val="tx1">
                  <a:lumMod val="65000"/>
                  <a:lumOff val="35000"/>
                </a:schemeClr>
              </a:solidFill>
              <a:latin typeface="+mn-lt"/>
              <a:ea typeface="+mn-ea"/>
              <a:cs typeface="+mn-cs"/>
            </a:defRPr>
          </a:pP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en-US"/>
      </a:pPr>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7" Type="http://schemas.openxmlformats.org/officeDocument/2006/relationships/image" Target="../media/image6.png"/><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emf"/><Relationship Id="rId3" Type="http://schemas.openxmlformats.org/officeDocument/2006/relationships/image" Target="../media/image2.emf"/><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13</xdr:col>
      <xdr:colOff>60960</xdr:colOff>
      <xdr:row>33</xdr:row>
      <xdr:rowOff>137160</xdr:rowOff>
    </xdr:from>
    <xdr:to>
      <xdr:col>15</xdr:col>
      <xdr:colOff>323849</xdr:colOff>
      <xdr:row>35</xdr:row>
      <xdr:rowOff>19050</xdr:rowOff>
    </xdr:to>
    <xdr:pic>
      <xdr:nvPicPr>
        <xdr:cNvPr id="4" name="Obrázek 4" descr="Výdajová metoda měření HDP"/>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9261455" y="6387465"/>
          <a:ext cx="165354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24</xdr:col>
      <xdr:colOff>118660</xdr:colOff>
      <xdr:row>1</xdr:row>
      <xdr:rowOff>15110</xdr:rowOff>
    </xdr:from>
    <xdr:to>
      <xdr:col>38</xdr:col>
      <xdr:colOff>388893</xdr:colOff>
      <xdr:row>17</xdr:row>
      <xdr:rowOff>93344</xdr:rowOff>
    </xdr:to>
    <xdr:pic>
      <xdr:nvPicPr>
        <xdr:cNvPr id="2" name="Obrázek 1"/>
        <xdr:cNvPicPr>
          <a:picLocks noChangeAspect="1" noChangeArrowheads="1"/>
        </xdr:cNvPicPr>
      </xdr:nvPicPr>
      <xdr:blipFill>
        <a:blip r:embed="rId3">
          <a:extLst>
            <a:ext uri="{28A0092B-C50C-407E-A947-70E740481C1C}">
              <a14:useLocalDpi xmlns:a14="http://schemas.microsoft.com/office/drawing/2010/main" val="0"/>
            </a:ext>
          </a:extLst>
        </a:blip>
        <a:srcRect/>
        <a:stretch>
          <a:fillRect/>
        </a:stretch>
      </xdr:blipFill>
      <xdr:spPr>
        <a:xfrm>
          <a:off x="17174210" y="197485"/>
          <a:ext cx="8911590" cy="30708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18</xdr:col>
      <xdr:colOff>2246</xdr:colOff>
      <xdr:row>107</xdr:row>
      <xdr:rowOff>12792</xdr:rowOff>
    </xdr:from>
    <xdr:to>
      <xdr:col>24</xdr:col>
      <xdr:colOff>259352</xdr:colOff>
      <xdr:row>117</xdr:row>
      <xdr:rowOff>58239</xdr:rowOff>
    </xdr:to>
    <xdr:grpSp>
      <xdr:nvGrpSpPr>
        <xdr:cNvPr id="3" name="Skupina 53"/>
        <xdr:cNvGrpSpPr/>
      </xdr:nvGrpSpPr>
      <xdr:grpSpPr>
        <a:xfrm>
          <a:off x="13237210" y="20091400"/>
          <a:ext cx="4077970" cy="1892935"/>
          <a:chOff x="0" y="0"/>
          <a:chExt cx="2076450" cy="1847850"/>
        </a:xfrm>
      </xdr:grpSpPr>
      <xdr:sp>
        <xdr:nvSpPr>
          <xdr:cNvPr id="4" name="Textové pole 358"/>
          <xdr:cNvSpPr txBox="1"/>
        </xdr:nvSpPr>
        <xdr:spPr>
          <a:xfrm>
            <a:off x="762000" y="1390650"/>
            <a:ext cx="457200" cy="238125"/>
          </a:xfrm>
          <a:prstGeom prst="rect">
            <a:avLst/>
          </a:prstGeom>
          <a:solidFill>
            <a:schemeClr val="lt1"/>
          </a:solidFill>
          <a:ln w="6350">
            <a:noFill/>
          </a:ln>
        </xdr:spPr>
        <xdr:txBody>
          <a:bodyPr rot="0" spcFirstLastPara="0" vert="horz" wrap="square" lIns="91440" tIns="45720" rIns="91440" bIns="45720" numCol="1" spcCol="0" rtlCol="0" fromWordArt="0" anchor="t" anchorCtr="0" forceAA="0" compatLnSpc="1">
            <a:noAutofit/>
          </a:bodyPr>
          <a:lstStyle/>
          <a:p>
            <a:pPr>
              <a:lnSpc>
                <a:spcPct val="115000"/>
              </a:lnSpc>
              <a:spcAft>
                <a:spcPts val="800"/>
              </a:spcAft>
            </a:pPr>
            <a:r>
              <a:rPr lang="cs-CZ" sz="900">
                <a:effectLst/>
                <a:latin typeface="Times New Roman" panose="02020603050405020304" pitchFamily="18" charset="0"/>
                <a:ea typeface="Times New Roman" panose="02020603050405020304" pitchFamily="18" charset="0"/>
                <a:cs typeface="Times New Roman" panose="02020603050405020304" pitchFamily="18" charset="0"/>
              </a:rPr>
              <a:t>250</a:t>
            </a:r>
            <a:endParaRPr lang="cs-CZ" sz="1200">
              <a:effectLst/>
              <a:latin typeface="Calibri" panose="020F0502020204030204" pitchFamily="34" charset="0"/>
              <a:ea typeface="Times New Roman" panose="02020603050405020304" pitchFamily="18" charset="0"/>
              <a:cs typeface="Times New Roman" panose="02020603050405020304" pitchFamily="18" charset="0"/>
            </a:endParaRPr>
          </a:p>
        </xdr:txBody>
      </xdr:sp>
      <xdr:grpSp>
        <xdr:nvGrpSpPr>
          <xdr:cNvPr id="5" name="Skupina 55"/>
          <xdr:cNvGrpSpPr/>
        </xdr:nvGrpSpPr>
        <xdr:grpSpPr>
          <a:xfrm>
            <a:off x="0" y="0"/>
            <a:ext cx="2076450" cy="1847850"/>
            <a:chOff x="0" y="0"/>
            <a:chExt cx="2076450" cy="1847850"/>
          </a:xfrm>
        </xdr:grpSpPr>
        <xdr:sp>
          <xdr:nvSpPr>
            <xdr:cNvPr id="6" name="Textové pole 356"/>
            <xdr:cNvSpPr txBox="1"/>
          </xdr:nvSpPr>
          <xdr:spPr>
            <a:xfrm>
              <a:off x="0" y="638175"/>
              <a:ext cx="409575" cy="238125"/>
            </a:xfrm>
            <a:prstGeom prst="rect">
              <a:avLst/>
            </a:prstGeom>
            <a:solidFill>
              <a:schemeClr val="lt1"/>
            </a:solidFill>
            <a:ln w="6350">
              <a:noFill/>
            </a:ln>
          </xdr:spPr>
          <xdr:txBody>
            <a:bodyPr rot="0" spcFirstLastPara="0" vert="horz" wrap="square" lIns="91440" tIns="45720" rIns="91440" bIns="45720" numCol="1" spcCol="0" rtlCol="0" fromWordArt="0" anchor="t" anchorCtr="0" forceAA="0" compatLnSpc="1">
              <a:noAutofit/>
            </a:bodyPr>
            <a:lstStyle/>
            <a:p>
              <a:pPr>
                <a:lnSpc>
                  <a:spcPct val="115000"/>
                </a:lnSpc>
                <a:spcAft>
                  <a:spcPts val="800"/>
                </a:spcAft>
              </a:pPr>
              <a:r>
                <a:rPr lang="cs-CZ" sz="900">
                  <a:effectLst/>
                  <a:latin typeface="Times New Roman" panose="02020603050405020304" pitchFamily="18" charset="0"/>
                  <a:ea typeface="Times New Roman" panose="02020603050405020304" pitchFamily="18" charset="0"/>
                  <a:cs typeface="Times New Roman" panose="02020603050405020304" pitchFamily="18" charset="0"/>
                </a:rPr>
                <a:t>500</a:t>
              </a:r>
              <a:endParaRPr lang="cs-CZ" sz="1200">
                <a:effectLst/>
                <a:latin typeface="Calibri" panose="020F0502020204030204" pitchFamily="34" charset="0"/>
                <a:ea typeface="Times New Roman" panose="02020603050405020304" pitchFamily="18" charset="0"/>
                <a:cs typeface="Times New Roman" panose="02020603050405020304" pitchFamily="18" charset="0"/>
              </a:endParaRPr>
            </a:p>
          </xdr:txBody>
        </xdr:sp>
        <xdr:grpSp>
          <xdr:nvGrpSpPr>
            <xdr:cNvPr id="7" name="Skupina 57"/>
            <xdr:cNvGrpSpPr/>
          </xdr:nvGrpSpPr>
          <xdr:grpSpPr>
            <a:xfrm>
              <a:off x="47625" y="0"/>
              <a:ext cx="2028825" cy="1847850"/>
              <a:chOff x="0" y="0"/>
              <a:chExt cx="2028825" cy="1847850"/>
            </a:xfrm>
          </xdr:grpSpPr>
          <xdr:sp>
            <xdr:nvSpPr>
              <xdr:cNvPr id="8" name="Textové pole 354"/>
              <xdr:cNvSpPr txBox="1"/>
            </xdr:nvSpPr>
            <xdr:spPr>
              <a:xfrm>
                <a:off x="1362075" y="1609725"/>
                <a:ext cx="361950" cy="238125"/>
              </a:xfrm>
              <a:prstGeom prst="rect">
                <a:avLst/>
              </a:prstGeom>
              <a:solidFill>
                <a:schemeClr val="lt1"/>
              </a:solidFill>
              <a:ln w="6350">
                <a:noFill/>
              </a:ln>
            </xdr:spPr>
            <xdr:txBody>
              <a:bodyPr rot="0" spcFirstLastPara="0" vert="horz" wrap="square" lIns="91440" tIns="45720" rIns="91440" bIns="45720" numCol="1" spcCol="0" rtlCol="0" fromWordArt="0" anchor="t" anchorCtr="0" forceAA="0" compatLnSpc="1">
                <a:noAutofit/>
              </a:bodyPr>
              <a:lstStyle/>
              <a:p>
                <a:pPr>
                  <a:lnSpc>
                    <a:spcPct val="115000"/>
                  </a:lnSpc>
                  <a:spcAft>
                    <a:spcPts val="800"/>
                  </a:spcAft>
                </a:pPr>
                <a:r>
                  <a:rPr lang="cs-CZ" sz="900">
                    <a:effectLst/>
                    <a:latin typeface="Times New Roman" panose="02020603050405020304" pitchFamily="18" charset="0"/>
                    <a:ea typeface="Times New Roman" panose="02020603050405020304" pitchFamily="18" charset="0"/>
                    <a:cs typeface="Times New Roman" panose="02020603050405020304" pitchFamily="18" charset="0"/>
                  </a:rPr>
                  <a:t>NX</a:t>
                </a:r>
                <a:endParaRPr lang="cs-CZ" sz="1200">
                  <a:effectLst/>
                  <a:latin typeface="Calibri" panose="020F0502020204030204" pitchFamily="34" charset="0"/>
                  <a:ea typeface="Times New Roman" panose="02020603050405020304" pitchFamily="18" charset="0"/>
                  <a:cs typeface="Times New Roman" panose="02020603050405020304" pitchFamily="18" charset="0"/>
                </a:endParaRPr>
              </a:p>
            </xdr:txBody>
          </xdr:sp>
          <xdr:sp>
            <xdr:nvSpPr>
              <xdr:cNvPr id="9" name="Textové pole 353"/>
              <xdr:cNvSpPr txBox="1"/>
            </xdr:nvSpPr>
            <xdr:spPr>
              <a:xfrm>
                <a:off x="1432613" y="592196"/>
                <a:ext cx="361950" cy="238125"/>
              </a:xfrm>
              <a:prstGeom prst="rect">
                <a:avLst/>
              </a:prstGeom>
              <a:solidFill>
                <a:schemeClr val="lt1"/>
              </a:solidFill>
              <a:ln w="6350">
                <a:noFill/>
              </a:ln>
            </xdr:spPr>
            <xdr:txBody>
              <a:bodyPr rot="0" spcFirstLastPara="0" vert="horz" wrap="square" lIns="91440" tIns="45720" rIns="91440" bIns="45720" numCol="1" spcCol="0" rtlCol="0" fromWordArt="0" anchor="t" anchorCtr="0" forceAA="0" compatLnSpc="1">
                <a:noAutofit/>
              </a:bodyPr>
              <a:lstStyle/>
              <a:p>
                <a:pPr>
                  <a:lnSpc>
                    <a:spcPct val="115000"/>
                  </a:lnSpc>
                  <a:spcAft>
                    <a:spcPts val="800"/>
                  </a:spcAft>
                </a:pPr>
                <a:r>
                  <a:rPr lang="cs-CZ" sz="900">
                    <a:effectLst/>
                    <a:latin typeface="Times New Roman" panose="02020603050405020304" pitchFamily="18" charset="0"/>
                    <a:ea typeface="Times New Roman" panose="02020603050405020304" pitchFamily="18" charset="0"/>
                    <a:cs typeface="Times New Roman" panose="02020603050405020304" pitchFamily="18" charset="0"/>
                  </a:rPr>
                  <a:t>X</a:t>
                </a:r>
                <a:endParaRPr lang="cs-CZ" sz="1200">
                  <a:effectLst/>
                  <a:latin typeface="Calibri" panose="020F0502020204030204" pitchFamily="34" charset="0"/>
                  <a:ea typeface="Times New Roman" panose="02020603050405020304" pitchFamily="18" charset="0"/>
                  <a:cs typeface="Times New Roman" panose="02020603050405020304" pitchFamily="18" charset="0"/>
                </a:endParaRPr>
              </a:p>
            </xdr:txBody>
          </xdr:sp>
          <xdr:sp>
            <xdr:nvSpPr>
              <xdr:cNvPr id="10" name="Textové pole 352"/>
              <xdr:cNvSpPr txBox="1"/>
            </xdr:nvSpPr>
            <xdr:spPr>
              <a:xfrm>
                <a:off x="1466850" y="104775"/>
                <a:ext cx="561975" cy="238125"/>
              </a:xfrm>
              <a:prstGeom prst="rect">
                <a:avLst/>
              </a:prstGeom>
              <a:solidFill>
                <a:schemeClr val="lt1"/>
              </a:solidFill>
              <a:ln w="6350">
                <a:noFill/>
              </a:ln>
            </xdr:spPr>
            <xdr:txBody>
              <a:bodyPr rot="0" spcFirstLastPara="0" vert="horz" wrap="square" lIns="91440" tIns="45720" rIns="91440" bIns="45720" numCol="1" spcCol="0" rtlCol="0" fromWordArt="0" anchor="t" anchorCtr="0" forceAA="0" compatLnSpc="1">
                <a:noAutofit/>
              </a:bodyPr>
              <a:lstStyle/>
              <a:p>
                <a:pPr>
                  <a:lnSpc>
                    <a:spcPct val="115000"/>
                  </a:lnSpc>
                  <a:spcAft>
                    <a:spcPts val="800"/>
                  </a:spcAft>
                </a:pPr>
                <a:r>
                  <a:rPr lang="cs-CZ" sz="900">
                    <a:effectLst/>
                    <a:latin typeface="Times New Roman" panose="02020603050405020304" pitchFamily="18" charset="0"/>
                    <a:ea typeface="Times New Roman" panose="02020603050405020304" pitchFamily="18" charset="0"/>
                    <a:cs typeface="Times New Roman" panose="02020603050405020304" pitchFamily="18" charset="0"/>
                  </a:rPr>
                  <a:t>0,2*Y</a:t>
                </a:r>
                <a:endParaRPr lang="cs-CZ" sz="1200">
                  <a:effectLst/>
                  <a:latin typeface="Calibri" panose="020F0502020204030204" pitchFamily="34" charset="0"/>
                  <a:ea typeface="Times New Roman" panose="02020603050405020304" pitchFamily="18" charset="0"/>
                  <a:cs typeface="Times New Roman" panose="02020603050405020304" pitchFamily="18" charset="0"/>
                </a:endParaRPr>
              </a:p>
            </xdr:txBody>
          </xdr:sp>
          <xdr:sp>
            <xdr:nvSpPr>
              <xdr:cNvPr id="11" name="Textové pole 351"/>
              <xdr:cNvSpPr txBox="1"/>
            </xdr:nvSpPr>
            <xdr:spPr>
              <a:xfrm>
                <a:off x="1457325" y="1371600"/>
                <a:ext cx="361950" cy="238125"/>
              </a:xfrm>
              <a:prstGeom prst="rect">
                <a:avLst/>
              </a:prstGeom>
              <a:solidFill>
                <a:schemeClr val="lt1"/>
              </a:solidFill>
              <a:ln w="6350">
                <a:noFill/>
              </a:ln>
            </xdr:spPr>
            <xdr:txBody>
              <a:bodyPr rot="0" spcFirstLastPara="0" vert="horz" wrap="square" lIns="91440" tIns="45720" rIns="91440" bIns="45720" numCol="1" spcCol="0" rtlCol="0" fromWordArt="0" anchor="t" anchorCtr="0" forceAA="0" compatLnSpc="1">
                <a:noAutofit/>
              </a:bodyPr>
              <a:lstStyle/>
              <a:p>
                <a:pPr>
                  <a:lnSpc>
                    <a:spcPct val="115000"/>
                  </a:lnSpc>
                  <a:spcAft>
                    <a:spcPts val="800"/>
                  </a:spcAft>
                </a:pPr>
                <a:r>
                  <a:rPr lang="cs-CZ" sz="900">
                    <a:effectLst/>
                    <a:latin typeface="Times New Roman" panose="02020603050405020304" pitchFamily="18" charset="0"/>
                    <a:ea typeface="Times New Roman" panose="02020603050405020304" pitchFamily="18" charset="0"/>
                    <a:cs typeface="Times New Roman" panose="02020603050405020304" pitchFamily="18" charset="0"/>
                  </a:rPr>
                  <a:t>Y</a:t>
                </a:r>
                <a:endParaRPr lang="cs-CZ" sz="1200">
                  <a:effectLst/>
                  <a:latin typeface="Calibri" panose="020F0502020204030204" pitchFamily="34" charset="0"/>
                  <a:ea typeface="Times New Roman" panose="02020603050405020304" pitchFamily="18" charset="0"/>
                  <a:cs typeface="Times New Roman" panose="02020603050405020304" pitchFamily="18" charset="0"/>
                </a:endParaRPr>
              </a:p>
            </xdr:txBody>
          </xdr:sp>
          <xdr:sp>
            <xdr:nvSpPr>
              <xdr:cNvPr id="12" name="Textové pole 350"/>
              <xdr:cNvSpPr txBox="1"/>
            </xdr:nvSpPr>
            <xdr:spPr>
              <a:xfrm>
                <a:off x="0" y="0"/>
                <a:ext cx="361950" cy="238125"/>
              </a:xfrm>
              <a:prstGeom prst="rect">
                <a:avLst/>
              </a:prstGeom>
              <a:solidFill>
                <a:schemeClr val="lt1"/>
              </a:solidFill>
              <a:ln w="6350">
                <a:noFill/>
              </a:ln>
            </xdr:spPr>
            <xdr:txBody>
              <a:bodyPr rot="0" spcFirstLastPara="0" vert="horz" wrap="square" lIns="91440" tIns="45720" rIns="91440" bIns="45720" numCol="1" spcCol="0" rtlCol="0" fromWordArt="0" anchor="t" anchorCtr="0" forceAA="0" compatLnSpc="1">
                <a:noAutofit/>
              </a:bodyPr>
              <a:lstStyle/>
              <a:p>
                <a:pPr>
                  <a:lnSpc>
                    <a:spcPct val="115000"/>
                  </a:lnSpc>
                  <a:spcAft>
                    <a:spcPts val="800"/>
                  </a:spcAft>
                </a:pPr>
                <a:r>
                  <a:rPr lang="cs-CZ" sz="900">
                    <a:effectLst/>
                    <a:latin typeface="Times New Roman" panose="02020603050405020304" pitchFamily="18" charset="0"/>
                    <a:ea typeface="Times New Roman" panose="02020603050405020304" pitchFamily="18" charset="0"/>
                    <a:cs typeface="Times New Roman" panose="02020603050405020304" pitchFamily="18" charset="0"/>
                  </a:rPr>
                  <a:t>AE</a:t>
                </a:r>
                <a:endParaRPr lang="cs-CZ" sz="1200">
                  <a:effectLst/>
                  <a:latin typeface="Calibri" panose="020F0502020204030204" pitchFamily="34" charset="0"/>
                  <a:ea typeface="Times New Roman" panose="02020603050405020304" pitchFamily="18" charset="0"/>
                  <a:cs typeface="Times New Roman" panose="02020603050405020304" pitchFamily="18" charset="0"/>
                </a:endParaRPr>
              </a:p>
            </xdr:txBody>
          </xdr:sp>
          <xdr:grpSp>
            <xdr:nvGrpSpPr>
              <xdr:cNvPr id="13" name="Skupina 63"/>
              <xdr:cNvGrpSpPr/>
            </xdr:nvGrpSpPr>
            <xdr:grpSpPr>
              <a:xfrm>
                <a:off x="276225" y="85725"/>
                <a:ext cx="1362075" cy="1762125"/>
                <a:chOff x="0" y="0"/>
                <a:chExt cx="1362075" cy="1762125"/>
              </a:xfrm>
            </xdr:grpSpPr>
            <xdr:cxnSp>
              <xdr:nvCxnSpPr>
                <xdr:cNvPr id="14" name="Přímá spojnice 64"/>
                <xdr:cNvCxnSpPr/>
              </xdr:nvCxnSpPr>
              <xdr:spPr>
                <a:xfrm>
                  <a:off x="0" y="0"/>
                  <a:ext cx="0" cy="130492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xdr:nvCxnSpPr>
                <xdr:cNvPr id="15" name="Přímá spojnice 65"/>
                <xdr:cNvCxnSpPr/>
              </xdr:nvCxnSpPr>
              <xdr:spPr>
                <a:xfrm flipH="1">
                  <a:off x="0" y="1304925"/>
                  <a:ext cx="136207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xdr:nvCxnSpPr>
                <xdr:cNvPr id="16" name="Přímá spojnice 66"/>
                <xdr:cNvCxnSpPr/>
              </xdr:nvCxnSpPr>
              <xdr:spPr>
                <a:xfrm flipH="1">
                  <a:off x="0" y="685800"/>
                  <a:ext cx="13620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xdr:nvCxnSpPr>
                <xdr:cNvPr id="17" name="Přímá spojnice 67"/>
                <xdr:cNvCxnSpPr/>
              </xdr:nvCxnSpPr>
              <xdr:spPr>
                <a:xfrm flipH="1">
                  <a:off x="0" y="200025"/>
                  <a:ext cx="1266825" cy="109537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xdr:nvCxnSpPr>
                <xdr:cNvPr id="18" name="Přímá spojnice 68"/>
                <xdr:cNvCxnSpPr/>
              </xdr:nvCxnSpPr>
              <xdr:spPr>
                <a:xfrm flipH="1" flipV="1">
                  <a:off x="1" y="685800"/>
                  <a:ext cx="1190624" cy="107632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xdr:nvCxnSpPr>
                <xdr:cNvPr id="19" name="Přímá spojnice 69"/>
                <xdr:cNvCxnSpPr/>
              </xdr:nvCxnSpPr>
              <xdr:spPr>
                <a:xfrm>
                  <a:off x="695325" y="685800"/>
                  <a:ext cx="0" cy="619125"/>
                </a:xfrm>
                <a:prstGeom prst="line">
                  <a:avLst/>
                </a:prstGeom>
                <a:ln w="12700">
                  <a:solidFill>
                    <a:schemeClr val="bg2">
                      <a:lumMod val="75000"/>
                    </a:schemeClr>
                  </a:solidFill>
                  <a:prstDash val="dash"/>
                </a:ln>
              </xdr:spPr>
              <xdr:style>
                <a:lnRef idx="1">
                  <a:schemeClr val="accent1"/>
                </a:lnRef>
                <a:fillRef idx="0">
                  <a:schemeClr val="accent1"/>
                </a:fillRef>
                <a:effectRef idx="0">
                  <a:schemeClr val="accent1"/>
                </a:effectRef>
                <a:fontRef idx="minor">
                  <a:schemeClr val="tx1"/>
                </a:fontRef>
              </xdr:style>
            </xdr:cxnSp>
          </xdr:grpSp>
        </xdr:grpSp>
      </xdr:grpSp>
    </xdr:grpSp>
    <xdr:clientData/>
  </xdr:twoCellAnchor>
  <xdr:twoCellAnchor>
    <xdr:from>
      <xdr:col>54</xdr:col>
      <xdr:colOff>323850</xdr:colOff>
      <xdr:row>35</xdr:row>
      <xdr:rowOff>19050</xdr:rowOff>
    </xdr:from>
    <xdr:to>
      <xdr:col>60</xdr:col>
      <xdr:colOff>514350</xdr:colOff>
      <xdr:row>49</xdr:row>
      <xdr:rowOff>95250</xdr:rowOff>
    </xdr:to>
    <xdr:grpSp>
      <xdr:nvGrpSpPr>
        <xdr:cNvPr id="20" name="Skupina 70"/>
        <xdr:cNvGrpSpPr/>
      </xdr:nvGrpSpPr>
      <xdr:grpSpPr>
        <a:xfrm>
          <a:off x="35896550" y="6543675"/>
          <a:ext cx="4618990" cy="2701290"/>
          <a:chOff x="0" y="0"/>
          <a:chExt cx="2076450" cy="1847850"/>
        </a:xfrm>
      </xdr:grpSpPr>
      <xdr:sp>
        <xdr:nvSpPr>
          <xdr:cNvPr id="21" name="Textové pole 358"/>
          <xdr:cNvSpPr txBox="1"/>
        </xdr:nvSpPr>
        <xdr:spPr>
          <a:xfrm>
            <a:off x="762000" y="1390650"/>
            <a:ext cx="457200" cy="238125"/>
          </a:xfrm>
          <a:prstGeom prst="rect">
            <a:avLst/>
          </a:prstGeom>
          <a:solidFill>
            <a:schemeClr val="lt1"/>
          </a:solidFill>
          <a:ln w="6350">
            <a:noFill/>
          </a:ln>
        </xdr:spPr>
        <xdr:txBody>
          <a:bodyPr rot="0" spcFirstLastPara="0" vert="horz" wrap="square" lIns="91440" tIns="45720" rIns="91440" bIns="45720" numCol="1" spcCol="0" rtlCol="0" fromWordArt="0" anchor="t" anchorCtr="0" forceAA="0" compatLnSpc="1">
            <a:noAutofit/>
          </a:bodyPr>
          <a:lstStyle/>
          <a:p>
            <a:pPr>
              <a:lnSpc>
                <a:spcPct val="115000"/>
              </a:lnSpc>
              <a:spcAft>
                <a:spcPts val="800"/>
              </a:spcAft>
            </a:pPr>
            <a:r>
              <a:rPr lang="cs-CZ" sz="900">
                <a:effectLst/>
                <a:latin typeface="Times New Roman" panose="02020603050405020304" pitchFamily="18" charset="0"/>
                <a:ea typeface="Times New Roman" panose="02020603050405020304" pitchFamily="18" charset="0"/>
                <a:cs typeface="Times New Roman" panose="02020603050405020304" pitchFamily="18" charset="0"/>
              </a:rPr>
              <a:t>2667</a:t>
            </a:r>
            <a:endParaRPr lang="cs-CZ" sz="1200">
              <a:effectLst/>
              <a:latin typeface="Calibri" panose="020F0502020204030204" pitchFamily="34" charset="0"/>
              <a:ea typeface="Times New Roman" panose="02020603050405020304" pitchFamily="18" charset="0"/>
              <a:cs typeface="Times New Roman" panose="02020603050405020304" pitchFamily="18" charset="0"/>
            </a:endParaRPr>
          </a:p>
        </xdr:txBody>
      </xdr:sp>
      <xdr:grpSp>
        <xdr:nvGrpSpPr>
          <xdr:cNvPr id="22" name="Skupina 72"/>
          <xdr:cNvGrpSpPr/>
        </xdr:nvGrpSpPr>
        <xdr:grpSpPr>
          <a:xfrm>
            <a:off x="0" y="0"/>
            <a:ext cx="2076450" cy="1847850"/>
            <a:chOff x="0" y="0"/>
            <a:chExt cx="2076450" cy="1847850"/>
          </a:xfrm>
        </xdr:grpSpPr>
        <xdr:sp>
          <xdr:nvSpPr>
            <xdr:cNvPr id="23" name="Textové pole 356"/>
            <xdr:cNvSpPr txBox="1"/>
          </xdr:nvSpPr>
          <xdr:spPr>
            <a:xfrm>
              <a:off x="0" y="638175"/>
              <a:ext cx="409575" cy="238125"/>
            </a:xfrm>
            <a:prstGeom prst="rect">
              <a:avLst/>
            </a:prstGeom>
            <a:solidFill>
              <a:schemeClr val="lt1"/>
            </a:solidFill>
            <a:ln w="6350">
              <a:noFill/>
            </a:ln>
          </xdr:spPr>
          <xdr:txBody>
            <a:bodyPr rot="0" spcFirstLastPara="0" vert="horz" wrap="square" lIns="91440" tIns="45720" rIns="91440" bIns="45720" numCol="1" spcCol="0" rtlCol="0" fromWordArt="0" anchor="t" anchorCtr="0" forceAA="0" compatLnSpc="1">
              <a:noAutofit/>
            </a:bodyPr>
            <a:lstStyle/>
            <a:p>
              <a:pPr>
                <a:lnSpc>
                  <a:spcPct val="115000"/>
                </a:lnSpc>
                <a:spcAft>
                  <a:spcPts val="800"/>
                </a:spcAft>
              </a:pPr>
              <a:r>
                <a:rPr lang="cs-CZ" sz="900">
                  <a:effectLst/>
                  <a:latin typeface="Times New Roman" panose="02020603050405020304" pitchFamily="18" charset="0"/>
                  <a:ea typeface="Times New Roman" panose="02020603050405020304" pitchFamily="18" charset="0"/>
                  <a:cs typeface="Times New Roman" panose="02020603050405020304" pitchFamily="18" charset="0"/>
                </a:rPr>
                <a:t>400</a:t>
              </a:r>
              <a:endParaRPr lang="cs-CZ" sz="1200">
                <a:effectLst/>
                <a:latin typeface="Calibri" panose="020F0502020204030204" pitchFamily="34" charset="0"/>
                <a:ea typeface="Times New Roman" panose="02020603050405020304" pitchFamily="18" charset="0"/>
                <a:cs typeface="Times New Roman" panose="02020603050405020304" pitchFamily="18" charset="0"/>
              </a:endParaRPr>
            </a:p>
          </xdr:txBody>
        </xdr:sp>
        <xdr:grpSp>
          <xdr:nvGrpSpPr>
            <xdr:cNvPr id="24" name="Skupina 74"/>
            <xdr:cNvGrpSpPr/>
          </xdr:nvGrpSpPr>
          <xdr:grpSpPr>
            <a:xfrm>
              <a:off x="47625" y="0"/>
              <a:ext cx="2028825" cy="1847850"/>
              <a:chOff x="0" y="0"/>
              <a:chExt cx="2028825" cy="1847850"/>
            </a:xfrm>
          </xdr:grpSpPr>
          <xdr:sp>
            <xdr:nvSpPr>
              <xdr:cNvPr id="25" name="Textové pole 354"/>
              <xdr:cNvSpPr txBox="1"/>
            </xdr:nvSpPr>
            <xdr:spPr>
              <a:xfrm>
                <a:off x="1362075" y="1609725"/>
                <a:ext cx="361950" cy="238125"/>
              </a:xfrm>
              <a:prstGeom prst="rect">
                <a:avLst/>
              </a:prstGeom>
              <a:solidFill>
                <a:schemeClr val="lt1"/>
              </a:solidFill>
              <a:ln w="6350">
                <a:noFill/>
              </a:ln>
            </xdr:spPr>
            <xdr:txBody>
              <a:bodyPr rot="0" spcFirstLastPara="0" vert="horz" wrap="square" lIns="91440" tIns="45720" rIns="91440" bIns="45720" numCol="1" spcCol="0" rtlCol="0" fromWordArt="0" anchor="t" anchorCtr="0" forceAA="0" compatLnSpc="1">
                <a:noAutofit/>
              </a:bodyPr>
              <a:lstStyle/>
              <a:p>
                <a:pPr>
                  <a:lnSpc>
                    <a:spcPct val="115000"/>
                  </a:lnSpc>
                  <a:spcAft>
                    <a:spcPts val="800"/>
                  </a:spcAft>
                </a:pPr>
                <a:r>
                  <a:rPr lang="cs-CZ" sz="900">
                    <a:effectLst/>
                    <a:latin typeface="Times New Roman" panose="02020603050405020304" pitchFamily="18" charset="0"/>
                    <a:ea typeface="Times New Roman" panose="02020603050405020304" pitchFamily="18" charset="0"/>
                    <a:cs typeface="Times New Roman" panose="02020603050405020304" pitchFamily="18" charset="0"/>
                  </a:rPr>
                  <a:t>NX</a:t>
                </a:r>
                <a:endParaRPr lang="cs-CZ" sz="1200">
                  <a:effectLst/>
                  <a:latin typeface="Calibri" panose="020F0502020204030204" pitchFamily="34" charset="0"/>
                  <a:ea typeface="Times New Roman" panose="02020603050405020304" pitchFamily="18" charset="0"/>
                  <a:cs typeface="Times New Roman" panose="02020603050405020304" pitchFamily="18" charset="0"/>
                </a:endParaRPr>
              </a:p>
            </xdr:txBody>
          </xdr:sp>
          <xdr:sp>
            <xdr:nvSpPr>
              <xdr:cNvPr id="26" name="Textové pole 353"/>
              <xdr:cNvSpPr txBox="1"/>
            </xdr:nvSpPr>
            <xdr:spPr>
              <a:xfrm>
                <a:off x="1432613" y="592196"/>
                <a:ext cx="361950" cy="238125"/>
              </a:xfrm>
              <a:prstGeom prst="rect">
                <a:avLst/>
              </a:prstGeom>
              <a:solidFill>
                <a:schemeClr val="lt1"/>
              </a:solidFill>
              <a:ln w="6350">
                <a:noFill/>
              </a:ln>
            </xdr:spPr>
            <xdr:txBody>
              <a:bodyPr rot="0" spcFirstLastPara="0" vert="horz" wrap="square" lIns="91440" tIns="45720" rIns="91440" bIns="45720" numCol="1" spcCol="0" rtlCol="0" fromWordArt="0" anchor="t" anchorCtr="0" forceAA="0" compatLnSpc="1">
                <a:noAutofit/>
              </a:bodyPr>
              <a:lstStyle/>
              <a:p>
                <a:pPr>
                  <a:lnSpc>
                    <a:spcPct val="115000"/>
                  </a:lnSpc>
                  <a:spcAft>
                    <a:spcPts val="800"/>
                  </a:spcAft>
                </a:pPr>
                <a:r>
                  <a:rPr lang="cs-CZ" sz="900">
                    <a:effectLst/>
                    <a:latin typeface="Times New Roman" panose="02020603050405020304" pitchFamily="18" charset="0"/>
                    <a:ea typeface="Times New Roman" panose="02020603050405020304" pitchFamily="18" charset="0"/>
                    <a:cs typeface="Times New Roman" panose="02020603050405020304" pitchFamily="18" charset="0"/>
                  </a:rPr>
                  <a:t>X</a:t>
                </a:r>
                <a:endParaRPr lang="cs-CZ" sz="1200">
                  <a:effectLst/>
                  <a:latin typeface="Calibri" panose="020F0502020204030204" pitchFamily="34" charset="0"/>
                  <a:ea typeface="Times New Roman" panose="02020603050405020304" pitchFamily="18" charset="0"/>
                  <a:cs typeface="Times New Roman" panose="02020603050405020304" pitchFamily="18" charset="0"/>
                </a:endParaRPr>
              </a:p>
            </xdr:txBody>
          </xdr:sp>
          <xdr:sp>
            <xdr:nvSpPr>
              <xdr:cNvPr id="27" name="Textové pole 352"/>
              <xdr:cNvSpPr txBox="1"/>
            </xdr:nvSpPr>
            <xdr:spPr>
              <a:xfrm>
                <a:off x="1466850" y="104775"/>
                <a:ext cx="561975" cy="238125"/>
              </a:xfrm>
              <a:prstGeom prst="rect">
                <a:avLst/>
              </a:prstGeom>
              <a:solidFill>
                <a:schemeClr val="lt1"/>
              </a:solidFill>
              <a:ln w="6350">
                <a:noFill/>
              </a:ln>
            </xdr:spPr>
            <xdr:txBody>
              <a:bodyPr rot="0" spcFirstLastPara="0" vert="horz" wrap="square" lIns="91440" tIns="45720" rIns="91440" bIns="45720" numCol="1" spcCol="0" rtlCol="0" fromWordArt="0" anchor="t" anchorCtr="0" forceAA="0" compatLnSpc="1">
                <a:noAutofit/>
              </a:bodyPr>
              <a:lstStyle/>
              <a:p>
                <a:pPr>
                  <a:lnSpc>
                    <a:spcPct val="115000"/>
                  </a:lnSpc>
                  <a:spcAft>
                    <a:spcPts val="800"/>
                  </a:spcAft>
                </a:pPr>
                <a:r>
                  <a:rPr lang="cs-CZ" sz="900">
                    <a:effectLst/>
                    <a:latin typeface="Times New Roman" panose="02020603050405020304" pitchFamily="18" charset="0"/>
                    <a:ea typeface="Times New Roman" panose="02020603050405020304" pitchFamily="18" charset="0"/>
                    <a:cs typeface="Times New Roman" panose="02020603050405020304" pitchFamily="18" charset="0"/>
                  </a:rPr>
                  <a:t>0,15Y</a:t>
                </a:r>
                <a:endParaRPr lang="cs-CZ" sz="1200">
                  <a:effectLst/>
                  <a:latin typeface="Calibri" panose="020F0502020204030204" pitchFamily="34" charset="0"/>
                  <a:ea typeface="Times New Roman" panose="02020603050405020304" pitchFamily="18" charset="0"/>
                  <a:cs typeface="Times New Roman" panose="02020603050405020304" pitchFamily="18" charset="0"/>
                </a:endParaRPr>
              </a:p>
            </xdr:txBody>
          </xdr:sp>
          <xdr:sp>
            <xdr:nvSpPr>
              <xdr:cNvPr id="28" name="Textové pole 351"/>
              <xdr:cNvSpPr txBox="1"/>
            </xdr:nvSpPr>
            <xdr:spPr>
              <a:xfrm>
                <a:off x="1457325" y="1371600"/>
                <a:ext cx="361950" cy="238125"/>
              </a:xfrm>
              <a:prstGeom prst="rect">
                <a:avLst/>
              </a:prstGeom>
              <a:solidFill>
                <a:schemeClr val="lt1"/>
              </a:solidFill>
              <a:ln w="6350">
                <a:noFill/>
              </a:ln>
            </xdr:spPr>
            <xdr:txBody>
              <a:bodyPr rot="0" spcFirstLastPara="0" vert="horz" wrap="square" lIns="91440" tIns="45720" rIns="91440" bIns="45720" numCol="1" spcCol="0" rtlCol="0" fromWordArt="0" anchor="t" anchorCtr="0" forceAA="0" compatLnSpc="1">
                <a:noAutofit/>
              </a:bodyPr>
              <a:lstStyle/>
              <a:p>
                <a:pPr>
                  <a:lnSpc>
                    <a:spcPct val="115000"/>
                  </a:lnSpc>
                  <a:spcAft>
                    <a:spcPts val="800"/>
                  </a:spcAft>
                </a:pPr>
                <a:r>
                  <a:rPr lang="cs-CZ" sz="900">
                    <a:effectLst/>
                    <a:latin typeface="Times New Roman" panose="02020603050405020304" pitchFamily="18" charset="0"/>
                    <a:ea typeface="Times New Roman" panose="02020603050405020304" pitchFamily="18" charset="0"/>
                    <a:cs typeface="Times New Roman" panose="02020603050405020304" pitchFamily="18" charset="0"/>
                  </a:rPr>
                  <a:t>Y</a:t>
                </a:r>
                <a:endParaRPr lang="cs-CZ" sz="1200">
                  <a:effectLst/>
                  <a:latin typeface="Calibri" panose="020F0502020204030204" pitchFamily="34" charset="0"/>
                  <a:ea typeface="Times New Roman" panose="02020603050405020304" pitchFamily="18" charset="0"/>
                  <a:cs typeface="Times New Roman" panose="02020603050405020304" pitchFamily="18" charset="0"/>
                </a:endParaRPr>
              </a:p>
            </xdr:txBody>
          </xdr:sp>
          <xdr:sp>
            <xdr:nvSpPr>
              <xdr:cNvPr id="29" name="Textové pole 350"/>
              <xdr:cNvSpPr txBox="1"/>
            </xdr:nvSpPr>
            <xdr:spPr>
              <a:xfrm>
                <a:off x="0" y="0"/>
                <a:ext cx="361950" cy="238125"/>
              </a:xfrm>
              <a:prstGeom prst="rect">
                <a:avLst/>
              </a:prstGeom>
              <a:solidFill>
                <a:schemeClr val="lt1"/>
              </a:solidFill>
              <a:ln w="6350">
                <a:noFill/>
              </a:ln>
            </xdr:spPr>
            <xdr:txBody>
              <a:bodyPr rot="0" spcFirstLastPara="0" vert="horz" wrap="square" lIns="91440" tIns="45720" rIns="91440" bIns="45720" numCol="1" spcCol="0" rtlCol="0" fromWordArt="0" anchor="t" anchorCtr="0" forceAA="0" compatLnSpc="1">
                <a:noAutofit/>
              </a:bodyPr>
              <a:lstStyle/>
              <a:p>
                <a:pPr>
                  <a:lnSpc>
                    <a:spcPct val="115000"/>
                  </a:lnSpc>
                  <a:spcAft>
                    <a:spcPts val="800"/>
                  </a:spcAft>
                </a:pPr>
                <a:r>
                  <a:rPr lang="cs-CZ" sz="900">
                    <a:effectLst/>
                    <a:latin typeface="Times New Roman" panose="02020603050405020304" pitchFamily="18" charset="0"/>
                    <a:ea typeface="Times New Roman" panose="02020603050405020304" pitchFamily="18" charset="0"/>
                    <a:cs typeface="Times New Roman" panose="02020603050405020304" pitchFamily="18" charset="0"/>
                  </a:rPr>
                  <a:t>AE</a:t>
                </a:r>
                <a:endParaRPr lang="cs-CZ" sz="1200">
                  <a:effectLst/>
                  <a:latin typeface="Calibri" panose="020F0502020204030204" pitchFamily="34" charset="0"/>
                  <a:ea typeface="Times New Roman" panose="02020603050405020304" pitchFamily="18" charset="0"/>
                  <a:cs typeface="Times New Roman" panose="02020603050405020304" pitchFamily="18" charset="0"/>
                </a:endParaRPr>
              </a:p>
            </xdr:txBody>
          </xdr:sp>
          <xdr:grpSp>
            <xdr:nvGrpSpPr>
              <xdr:cNvPr id="30" name="Skupina 80"/>
              <xdr:cNvGrpSpPr/>
            </xdr:nvGrpSpPr>
            <xdr:grpSpPr>
              <a:xfrm>
                <a:off x="276225" y="85725"/>
                <a:ext cx="1362075" cy="1762125"/>
                <a:chOff x="0" y="0"/>
                <a:chExt cx="1362075" cy="1762125"/>
              </a:xfrm>
            </xdr:grpSpPr>
            <xdr:cxnSp>
              <xdr:nvCxnSpPr>
                <xdr:cNvPr id="31" name="Přímá spojnice 81"/>
                <xdr:cNvCxnSpPr/>
              </xdr:nvCxnSpPr>
              <xdr:spPr>
                <a:xfrm>
                  <a:off x="0" y="0"/>
                  <a:ext cx="0" cy="130492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xdr:nvCxnSpPr>
                <xdr:cNvPr id="32" name="Přímá spojnice 82"/>
                <xdr:cNvCxnSpPr/>
              </xdr:nvCxnSpPr>
              <xdr:spPr>
                <a:xfrm flipH="1">
                  <a:off x="0" y="1304925"/>
                  <a:ext cx="136207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xdr:nvCxnSpPr>
                <xdr:cNvPr id="33" name="Přímá spojnice 83"/>
                <xdr:cNvCxnSpPr/>
              </xdr:nvCxnSpPr>
              <xdr:spPr>
                <a:xfrm flipH="1">
                  <a:off x="0" y="685800"/>
                  <a:ext cx="13620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xdr:nvCxnSpPr>
                <xdr:cNvPr id="34" name="Přímá spojnice 84"/>
                <xdr:cNvCxnSpPr/>
              </xdr:nvCxnSpPr>
              <xdr:spPr>
                <a:xfrm flipH="1">
                  <a:off x="0" y="200025"/>
                  <a:ext cx="1266825" cy="109537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xdr:nvCxnSpPr>
                <xdr:cNvPr id="35" name="Přímá spojnice 85"/>
                <xdr:cNvCxnSpPr/>
              </xdr:nvCxnSpPr>
              <xdr:spPr>
                <a:xfrm flipH="1" flipV="1">
                  <a:off x="2" y="685800"/>
                  <a:ext cx="1190624" cy="107632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xdr:nvCxnSpPr>
                <xdr:cNvPr id="36" name="Přímá spojnice 86"/>
                <xdr:cNvCxnSpPr/>
              </xdr:nvCxnSpPr>
              <xdr:spPr>
                <a:xfrm>
                  <a:off x="695325" y="685800"/>
                  <a:ext cx="0" cy="619125"/>
                </a:xfrm>
                <a:prstGeom prst="line">
                  <a:avLst/>
                </a:prstGeom>
                <a:ln w="12700">
                  <a:solidFill>
                    <a:schemeClr val="bg2">
                      <a:lumMod val="75000"/>
                    </a:schemeClr>
                  </a:solidFill>
                  <a:prstDash val="dash"/>
                </a:ln>
              </xdr:spPr>
              <xdr:style>
                <a:lnRef idx="1">
                  <a:schemeClr val="accent1"/>
                </a:lnRef>
                <a:fillRef idx="0">
                  <a:schemeClr val="accent1"/>
                </a:fillRef>
                <a:effectRef idx="0">
                  <a:schemeClr val="accent1"/>
                </a:effectRef>
                <a:fontRef idx="minor">
                  <a:schemeClr val="tx1"/>
                </a:fontRef>
              </xdr:style>
            </xdr:cxnSp>
          </xdr:grpSp>
        </xdr:grpSp>
      </xdr:grpSp>
    </xdr:grpSp>
    <xdr:clientData/>
  </xdr:twoCellAnchor>
  <xdr:twoCellAnchor>
    <xdr:from>
      <xdr:col>8</xdr:col>
      <xdr:colOff>1120083</xdr:colOff>
      <xdr:row>38</xdr:row>
      <xdr:rowOff>39995</xdr:rowOff>
    </xdr:from>
    <xdr:to>
      <xdr:col>22</xdr:col>
      <xdr:colOff>364259</xdr:colOff>
      <xdr:row>62</xdr:row>
      <xdr:rowOff>58653</xdr:rowOff>
    </xdr:to>
    <xdr:graphicFrame>
      <xdr:nvGraphicFramePr>
        <xdr:cNvPr id="37" name="Graf 88"/>
        <xdr:cNvGraphicFramePr/>
      </xdr:nvGraphicFramePr>
      <xdr:xfrm>
        <a:off x="6380480" y="7167880"/>
        <a:ext cx="9805035" cy="441769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29</xdr:col>
      <xdr:colOff>376517</xdr:colOff>
      <xdr:row>19</xdr:row>
      <xdr:rowOff>112057</xdr:rowOff>
    </xdr:from>
    <xdr:to>
      <xdr:col>46</xdr:col>
      <xdr:colOff>277906</xdr:colOff>
      <xdr:row>61</xdr:row>
      <xdr:rowOff>167067</xdr:rowOff>
    </xdr:to>
    <xdr:graphicFrame>
      <xdr:nvGraphicFramePr>
        <xdr:cNvPr id="38" name="Graf 89"/>
        <xdr:cNvGraphicFramePr/>
      </xdr:nvGraphicFramePr>
      <xdr:xfrm>
        <a:off x="20518120" y="3653155"/>
        <a:ext cx="10394315" cy="7858125"/>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18</xdr:col>
      <xdr:colOff>188046</xdr:colOff>
      <xdr:row>63</xdr:row>
      <xdr:rowOff>3203</xdr:rowOff>
    </xdr:from>
    <xdr:to>
      <xdr:col>33</xdr:col>
      <xdr:colOff>380920</xdr:colOff>
      <xdr:row>85</xdr:row>
      <xdr:rowOff>44631</xdr:rowOff>
    </xdr:to>
    <xdr:pic>
      <xdr:nvPicPr>
        <xdr:cNvPr id="39" name="Obrázek 91"/>
        <xdr:cNvPicPr>
          <a:picLocks noChangeAspect="1" noChangeArrowheads="1"/>
        </xdr:cNvPicPr>
      </xdr:nvPicPr>
      <xdr:blipFill>
        <a:blip r:embed="rId4">
          <a:extLst>
            <a:ext uri="{28A0092B-C50C-407E-A947-70E740481C1C}">
              <a14:useLocalDpi xmlns:a14="http://schemas.microsoft.com/office/drawing/2010/main" val="0"/>
            </a:ext>
          </a:extLst>
        </a:blip>
        <a:srcRect/>
        <a:stretch>
          <a:fillRect/>
        </a:stretch>
      </xdr:blipFill>
      <xdr:spPr>
        <a:xfrm>
          <a:off x="13423265" y="11713210"/>
          <a:ext cx="9568180" cy="40646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716280</xdr:colOff>
      <xdr:row>90</xdr:row>
      <xdr:rowOff>193271</xdr:rowOff>
    </xdr:from>
    <xdr:to>
      <xdr:col>22</xdr:col>
      <xdr:colOff>132355</xdr:colOff>
      <xdr:row>95</xdr:row>
      <xdr:rowOff>114438</xdr:rowOff>
    </xdr:to>
    <xdr:pic>
      <xdr:nvPicPr>
        <xdr:cNvPr id="40" name="Obrázek 93"/>
        <xdr:cNvPicPr>
          <a:picLocks noChangeAspect="1"/>
        </xdr:cNvPicPr>
      </xdr:nvPicPr>
      <xdr:blipFill>
        <a:blip r:embed="rId5"/>
        <a:stretch>
          <a:fillRect/>
        </a:stretch>
      </xdr:blipFill>
      <xdr:spPr>
        <a:xfrm>
          <a:off x="13951585" y="16886555"/>
          <a:ext cx="2002155" cy="927100"/>
        </a:xfrm>
        <a:prstGeom prst="rect">
          <a:avLst/>
        </a:prstGeom>
      </xdr:spPr>
    </xdr:pic>
    <xdr:clientData/>
  </xdr:twoCellAnchor>
  <xdr:twoCellAnchor editAs="oneCell">
    <xdr:from>
      <xdr:col>22</xdr:col>
      <xdr:colOff>495300</xdr:colOff>
      <xdr:row>95</xdr:row>
      <xdr:rowOff>180109</xdr:rowOff>
    </xdr:from>
    <xdr:to>
      <xdr:col>25</xdr:col>
      <xdr:colOff>249383</xdr:colOff>
      <xdr:row>100</xdr:row>
      <xdr:rowOff>19513</xdr:rowOff>
    </xdr:to>
    <xdr:pic>
      <xdr:nvPicPr>
        <xdr:cNvPr id="41" name="Obrázek 95"/>
        <xdr:cNvPicPr>
          <a:picLocks noChangeAspect="1"/>
        </xdr:cNvPicPr>
      </xdr:nvPicPr>
      <xdr:blipFill>
        <a:blip r:embed="rId6"/>
        <a:stretch>
          <a:fillRect/>
        </a:stretch>
      </xdr:blipFill>
      <xdr:spPr>
        <a:xfrm>
          <a:off x="16316960" y="17879060"/>
          <a:ext cx="1605280" cy="868045"/>
        </a:xfrm>
        <a:prstGeom prst="rect">
          <a:avLst/>
        </a:prstGeom>
      </xdr:spPr>
    </xdr:pic>
    <xdr:clientData/>
  </xdr:twoCellAnchor>
  <xdr:twoCellAnchor>
    <xdr:from>
      <xdr:col>15</xdr:col>
      <xdr:colOff>480059</xdr:colOff>
      <xdr:row>96</xdr:row>
      <xdr:rowOff>144780</xdr:rowOff>
    </xdr:from>
    <xdr:to>
      <xdr:col>17</xdr:col>
      <xdr:colOff>498762</xdr:colOff>
      <xdr:row>102</xdr:row>
      <xdr:rowOff>65372</xdr:rowOff>
    </xdr:to>
    <xdr:pic>
      <xdr:nvPicPr>
        <xdr:cNvPr id="42" name="Obrázek 99"/>
        <xdr:cNvPicPr>
          <a:picLocks noChangeAspect="1" noChangeArrowheads="1"/>
        </xdr:cNvPicPr>
      </xdr:nvPicPr>
      <xdr:blipFill>
        <a:blip r:embed="rId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a:xfrm>
          <a:off x="11882755" y="18036540"/>
          <a:ext cx="1253490" cy="11220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18</xdr:col>
      <xdr:colOff>536666</xdr:colOff>
      <xdr:row>95</xdr:row>
      <xdr:rowOff>149430</xdr:rowOff>
    </xdr:from>
    <xdr:to>
      <xdr:col>21</xdr:col>
      <xdr:colOff>54429</xdr:colOff>
      <xdr:row>104</xdr:row>
      <xdr:rowOff>26421</xdr:rowOff>
    </xdr:to>
    <xdr:pic>
      <xdr:nvPicPr>
        <xdr:cNvPr id="43" name="Obrázek 101"/>
        <xdr:cNvPicPr>
          <a:picLocks noChangeAspect="1" noChangeArrowheads="1"/>
        </xdr:cNvPicPr>
      </xdr:nvPicPr>
      <xdr:blipFill>
        <a:blip r:embed="rId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a:xfrm>
          <a:off x="13771880" y="17848580"/>
          <a:ext cx="1486535" cy="17075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91</xdr:row>
      <xdr:rowOff>0</xdr:rowOff>
    </xdr:from>
    <xdr:to>
      <xdr:col>44</xdr:col>
      <xdr:colOff>135255</xdr:colOff>
      <xdr:row>111</xdr:row>
      <xdr:rowOff>21259</xdr:rowOff>
    </xdr:to>
    <xdr:pic>
      <xdr:nvPicPr>
        <xdr:cNvPr id="44" name="Obrázek 103"/>
        <xdr:cNvPicPr>
          <a:picLocks noChangeAspect="1" noChangeArrowheads="1"/>
        </xdr:cNvPicPr>
      </xdr:nvPicPr>
      <xdr:blipFill>
        <a:blip r:embed="rId3">
          <a:extLst>
            <a:ext uri="{28A0092B-C50C-407E-A947-70E740481C1C}">
              <a14:useLocalDpi xmlns:a14="http://schemas.microsoft.com/office/drawing/2010/main" val="0"/>
            </a:ext>
          </a:extLst>
        </a:blip>
        <a:srcRect/>
        <a:stretch>
          <a:fillRect/>
        </a:stretch>
      </xdr:blipFill>
      <xdr:spPr>
        <a:xfrm>
          <a:off x="21376640" y="16922115"/>
          <a:ext cx="8159115" cy="39185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c:userShapes xmlns:c="http://schemas.openxmlformats.org/drawingml/2006/chart">
  <cdr:relSizeAnchor xmlns:cdr="http://schemas.openxmlformats.org/drawingml/2006/chartDrawing">
    <cdr:from>
      <cdr:x>0.8697</cdr:x>
      <cdr:y>0.0713</cdr:y>
    </cdr:from>
    <cdr:to>
      <cdr:x>1</cdr:x>
      <cdr:y>0.15556</cdr:y>
    </cdr:to>
    <cdr:sp>
      <cdr:nvSpPr>
        <cdr:cNvPr id="2" name="Rectangles 1"/>
        <cdr:cNvSpPr/>
      </cdr:nvSpPr>
      <cdr:spPr xmlns:a="http://schemas.openxmlformats.org/drawingml/2006/main">
        <a:xfrm xmlns:a="http://schemas.openxmlformats.org/drawingml/2006/main">
          <a:off x="4373880" y="195580"/>
          <a:ext cx="655320" cy="231140"/>
        </a:xfrm>
        <a:prstGeom xmlns:a="http://schemas.openxmlformats.org/drawingml/2006/main" prst="rect">
          <a:avLst/>
        </a:prstGeom>
        <a:solidFill>
          <a:schemeClr val="lt1"/>
        </a:solidFill>
        <a:ln w="6350">
          <a:noFill/>
        </a:ln>
      </cdr:spPr>
      <cdr:txBody xmlns:a="http://schemas.openxmlformats.org/drawingml/2006/main">
        <a:bodyPr rot="0" spcFirstLastPara="0" vert="horz" wrap="square" lIns="91440" tIns="45720" rIns="91440" bIns="45720" numCol="1" spcCol="0" rtlCol="0" fromWordArt="0" anchor="t" anchorCtr="0" forceAA="0" compatLnSpc="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nSpc>
              <a:spcPct val="115000"/>
            </a:lnSpc>
            <a:spcAft>
              <a:spcPts val="800"/>
            </a:spcAft>
          </a:pPr>
          <a:r>
            <a:rPr lang="cs-CZ" sz="900">
              <a:effectLst/>
              <a:latin typeface="Times New Roman" panose="02020603050405020304" pitchFamily="18" charset="0"/>
              <a:ea typeface="Times New Roman" panose="02020603050405020304" pitchFamily="18" charset="0"/>
              <a:cs typeface="Times New Roman" panose="02020603050405020304" pitchFamily="18" charset="0"/>
            </a:rPr>
            <a:t>Y=AE</a:t>
          </a:r>
          <a:endParaRPr lang="cs-CZ" sz="1200">
            <a:effectLst/>
            <a:latin typeface="Calibri" panose="020F0502020204030204" pitchFamily="34" charset="0"/>
            <a:ea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cdr:x>
      <cdr:y>0.01852</cdr:y>
    </cdr:from>
    <cdr:to>
      <cdr:x>0.04489</cdr:x>
      <cdr:y>0.10479</cdr:y>
    </cdr:to>
    <cdr:sp>
      <cdr:nvSpPr>
        <cdr:cNvPr id="3" name="Rectangles 2"/>
        <cdr:cNvSpPr/>
      </cdr:nvSpPr>
      <cdr:spPr xmlns:a="http://schemas.openxmlformats.org/drawingml/2006/main">
        <a:xfrm xmlns:a="http://schemas.openxmlformats.org/drawingml/2006/main">
          <a:off x="0" y="70787"/>
          <a:ext cx="331695" cy="329767"/>
        </a:xfrm>
        <a:prstGeom xmlns:a="http://schemas.openxmlformats.org/drawingml/2006/main" prst="rect">
          <a:avLst/>
        </a:prstGeom>
        <a:solidFill>
          <a:schemeClr val="lt1"/>
        </a:solidFill>
        <a:ln w="6350">
          <a:noFill/>
        </a:ln>
      </cdr:spPr>
      <cdr:txBody xmlns:a="http://schemas.openxmlformats.org/drawingml/2006/main">
        <a:bodyPr rot="0" spcFirstLastPara="0" vert="horz" wrap="square" lIns="91440" tIns="45720" rIns="91440" bIns="45720" numCol="1" spcCol="0" rtlCol="0" fromWordArt="0" anchor="t" anchorCtr="0" forceAA="0" compatLnSpc="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nSpc>
              <a:spcPct val="115000"/>
            </a:lnSpc>
            <a:spcAft>
              <a:spcPts val="800"/>
            </a:spcAft>
          </a:pPr>
          <a:r>
            <a:rPr lang="cs-CZ" sz="800">
              <a:effectLst/>
              <a:latin typeface="Times New Roman" panose="02020603050405020304" pitchFamily="18" charset="0"/>
              <a:ea typeface="Times New Roman" panose="02020603050405020304" pitchFamily="18" charset="0"/>
              <a:cs typeface="Times New Roman" panose="02020603050405020304" pitchFamily="18" charset="0"/>
            </a:rPr>
            <a:t>AE</a:t>
          </a:r>
          <a:endParaRPr lang="cs-CZ" sz="1100">
            <a:effectLst/>
            <a:latin typeface="Calibri" panose="020F0502020204030204" pitchFamily="34" charset="0"/>
            <a:ea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0.8892</cdr:x>
      <cdr:y>0.91373</cdr:y>
    </cdr:from>
    <cdr:to>
      <cdr:x>0.94602</cdr:x>
      <cdr:y>1</cdr:y>
    </cdr:to>
    <cdr:sp>
      <cdr:nvSpPr>
        <cdr:cNvPr id="4" name="Rectangles 3"/>
        <cdr:cNvSpPr/>
      </cdr:nvSpPr>
      <cdr:spPr xmlns:a="http://schemas.openxmlformats.org/drawingml/2006/main">
        <a:xfrm xmlns:a="http://schemas.openxmlformats.org/drawingml/2006/main">
          <a:off x="4770120" y="2910381"/>
          <a:ext cx="304800" cy="274779"/>
        </a:xfrm>
        <a:prstGeom xmlns:a="http://schemas.openxmlformats.org/drawingml/2006/main" prst="rect">
          <a:avLst/>
        </a:prstGeom>
        <a:solidFill>
          <a:schemeClr val="lt1"/>
        </a:solidFill>
        <a:ln w="6350">
          <a:noFill/>
        </a:ln>
      </cdr:spPr>
      <cdr:txBody xmlns:a="http://schemas.openxmlformats.org/drawingml/2006/main">
        <a:bodyPr rot="0" spcFirstLastPara="0" vert="horz" wrap="square" lIns="91440" tIns="45720" rIns="91440" bIns="45720" numCol="1" spcCol="0" rtlCol="0" fromWordArt="0" anchor="t" anchorCtr="0" forceAA="0" compatLnSpc="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nSpc>
              <a:spcPct val="115000"/>
            </a:lnSpc>
            <a:spcAft>
              <a:spcPts val="800"/>
            </a:spcAft>
          </a:pPr>
          <a:r>
            <a:rPr lang="cs-CZ" sz="900">
              <a:effectLst/>
              <a:latin typeface="Times New Roman" panose="02020603050405020304" pitchFamily="18" charset="0"/>
              <a:ea typeface="Times New Roman" panose="02020603050405020304" pitchFamily="18" charset="0"/>
              <a:cs typeface="Times New Roman" panose="02020603050405020304" pitchFamily="18" charset="0"/>
            </a:rPr>
            <a:t>Y</a:t>
          </a:r>
          <a:endParaRPr lang="cs-CZ" sz="1200">
            <a:effectLst/>
            <a:latin typeface="Calibri" panose="020F0502020204030204" pitchFamily="34" charset="0"/>
            <a:ea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0.46533</cdr:x>
      <cdr:y>0.53108</cdr:y>
    </cdr:from>
    <cdr:to>
      <cdr:x>0.46716</cdr:x>
      <cdr:y>0.88478</cdr:y>
    </cdr:to>
    <cdr:cxnSp>
      <cdr:nvCxnSpPr>
        <cdr:cNvPr id="5" name="Straight Connector 4"/>
        <cdr:cNvCxnSpPr/>
      </cdr:nvCxnSpPr>
      <cdr:spPr xmlns:a="http://schemas.openxmlformats.org/drawingml/2006/main">
        <a:xfrm xmlns:a="http://schemas.openxmlformats.org/drawingml/2006/main">
          <a:off x="3871044" y="2196737"/>
          <a:ext cx="15156" cy="1463040"/>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4.xml><?xml version="1.0" encoding="utf-8"?>
<c:userShapes xmlns:c="http://schemas.openxmlformats.org/drawingml/2006/chart">
  <cdr:relSizeAnchor xmlns:cdr="http://schemas.openxmlformats.org/drawingml/2006/chartDrawing">
    <cdr:from>
      <cdr:x>0.8877</cdr:x>
      <cdr:y>0.01417</cdr:y>
    </cdr:from>
    <cdr:to>
      <cdr:x>0.92304</cdr:x>
      <cdr:y>0.05088</cdr:y>
    </cdr:to>
    <cdr:sp>
      <cdr:nvSpPr>
        <cdr:cNvPr id="2" name="Rectangles 1"/>
        <cdr:cNvSpPr/>
      </cdr:nvSpPr>
      <cdr:spPr xmlns:a="http://schemas.openxmlformats.org/drawingml/2006/main">
        <a:xfrm xmlns:a="http://schemas.openxmlformats.org/drawingml/2006/main">
          <a:off x="12311044" y="109165"/>
          <a:ext cx="490069" cy="282746"/>
        </a:xfrm>
        <a:prstGeom xmlns:a="http://schemas.openxmlformats.org/drawingml/2006/main" prst="rect">
          <a:avLst/>
        </a:prstGeom>
        <a:solidFill>
          <a:schemeClr val="lt1"/>
        </a:solidFill>
        <a:ln w="6350">
          <a:noFill/>
        </a:ln>
      </cdr:spPr>
      <cdr:txBody xmlns:a="http://schemas.openxmlformats.org/drawingml/2006/main">
        <a:bodyPr rot="0" spcFirstLastPara="0" vert="horz" wrap="square" lIns="91440" tIns="45720" rIns="91440" bIns="45720" numCol="1" spcCol="0" rtlCol="0" fromWordArt="0" anchor="t" anchorCtr="0" forceAA="0" compatLnSpc="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nSpc>
              <a:spcPct val="115000"/>
            </a:lnSpc>
            <a:spcAft>
              <a:spcPts val="800"/>
            </a:spcAft>
          </a:pPr>
          <a:r>
            <a:rPr lang="cs-CZ" sz="900">
              <a:effectLst/>
              <a:latin typeface="Times New Roman" panose="02020603050405020304" pitchFamily="18" charset="0"/>
              <a:ea typeface="Times New Roman" panose="02020603050405020304" pitchFamily="18" charset="0"/>
              <a:cs typeface="Times New Roman" panose="02020603050405020304" pitchFamily="18" charset="0"/>
            </a:rPr>
            <a:t>Y=AE</a:t>
          </a:r>
          <a:endParaRPr lang="cs-CZ" sz="1200">
            <a:effectLst/>
            <a:latin typeface="Calibri" panose="020F0502020204030204" pitchFamily="34" charset="0"/>
            <a:ea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0.87213</cdr:x>
      <cdr:y>0.11691</cdr:y>
    </cdr:from>
    <cdr:to>
      <cdr:x>0.87213</cdr:x>
      <cdr:y>0.87903</cdr:y>
    </cdr:to>
    <cdr:cxnSp>
      <cdr:nvCxnSpPr>
        <cdr:cNvPr id="3" name="Straight Connector 2"/>
        <cdr:cNvCxnSpPr/>
      </cdr:nvCxnSpPr>
      <cdr:spPr xmlns:a="http://schemas.openxmlformats.org/drawingml/2006/main">
        <a:xfrm xmlns:a="http://schemas.openxmlformats.org/drawingml/2006/main">
          <a:off x="12095019" y="900547"/>
          <a:ext cx="0" cy="5870764"/>
        </a:xfrm>
        <a:prstGeom xmlns:a="http://schemas.openxmlformats.org/drawingml/2006/main" prst="line">
          <a:avLst/>
        </a:prstGeom>
        <a:ln>
          <a:solidFill>
            <a:schemeClr val="tx1">
              <a:lumMod val="50000"/>
              <a:lumOff val="50000"/>
            </a:schemeClr>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0.75909</cdr:x>
      <cdr:y>0.22302</cdr:y>
    </cdr:from>
    <cdr:to>
      <cdr:x>0.75909</cdr:x>
      <cdr:y>0.87122</cdr:y>
    </cdr:to>
    <cdr:cxnSp>
      <cdr:nvCxnSpPr>
        <cdr:cNvPr id="4" name="Straight Connector 3"/>
        <cdr:cNvCxnSpPr/>
      </cdr:nvCxnSpPr>
      <cdr:spPr xmlns:a="http://schemas.openxmlformats.org/drawingml/2006/main">
        <a:xfrm xmlns:a="http://schemas.openxmlformats.org/drawingml/2006/main" flipH="1">
          <a:off x="10527325" y="1717965"/>
          <a:ext cx="0" cy="4993154"/>
        </a:xfrm>
        <a:prstGeom xmlns:a="http://schemas.openxmlformats.org/drawingml/2006/main" prst="line">
          <a:avLst/>
        </a:prstGeom>
        <a:ln>
          <a:solidFill>
            <a:schemeClr val="tx1">
              <a:lumMod val="65000"/>
              <a:lumOff val="35000"/>
            </a:schemeClr>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0.91968</cdr:x>
      <cdr:y>0.95019</cdr:y>
    </cdr:from>
    <cdr:to>
      <cdr:x>0.95044</cdr:x>
      <cdr:y>0.99373</cdr:y>
    </cdr:to>
    <cdr:sp>
      <cdr:nvSpPr>
        <cdr:cNvPr id="5" name="Rectangles 4"/>
        <cdr:cNvSpPr/>
      </cdr:nvSpPr>
      <cdr:spPr xmlns:a="http://schemas.openxmlformats.org/drawingml/2006/main">
        <a:xfrm xmlns:a="http://schemas.openxmlformats.org/drawingml/2006/main">
          <a:off x="12754429" y="7507514"/>
          <a:ext cx="426616" cy="344008"/>
        </a:xfrm>
        <a:prstGeom xmlns:a="http://schemas.openxmlformats.org/drawingml/2006/main" prst="rect">
          <a:avLst/>
        </a:prstGeom>
        <a:solidFill>
          <a:schemeClr val="lt1"/>
        </a:solidFill>
        <a:ln w="6350">
          <a:noFill/>
        </a:ln>
      </cdr:spPr>
      <cdr:txBody xmlns:a="http://schemas.openxmlformats.org/drawingml/2006/main">
        <a:bodyPr rot="0" spcFirstLastPara="0" vert="horz" wrap="square" lIns="91440" tIns="45720" rIns="91440" bIns="45720" numCol="1" spcCol="0" rtlCol="0" fromWordArt="0" anchor="t" anchorCtr="0" forceAA="0" compatLnSpc="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nSpc>
              <a:spcPct val="115000"/>
            </a:lnSpc>
            <a:spcAft>
              <a:spcPts val="800"/>
            </a:spcAft>
          </a:pPr>
          <a:r>
            <a:rPr lang="cs-CZ" sz="900">
              <a:effectLst/>
              <a:latin typeface="Times New Roman" panose="02020603050405020304" pitchFamily="18" charset="0"/>
              <a:ea typeface="Times New Roman" panose="02020603050405020304" pitchFamily="18" charset="0"/>
              <a:cs typeface="Times New Roman" panose="02020603050405020304" pitchFamily="18" charset="0"/>
            </a:rPr>
            <a:t>Y</a:t>
          </a:r>
          <a:endParaRPr lang="cs-CZ" sz="1200">
            <a:effectLst/>
            <a:latin typeface="Calibri" panose="020F0502020204030204" pitchFamily="34" charset="0"/>
            <a:ea typeface="Times New Roman" panose="02020603050405020304" pitchFamily="18" charset="0"/>
            <a:cs typeface="Times New Roman" panose="02020603050405020304" pitchFamily="18" charset="0"/>
          </a:endParaRPr>
        </a:p>
      </cdr:txBody>
    </cdr:sp>
  </cdr:relSizeAnchor>
</c:userShape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2"/>
  <sheetViews>
    <sheetView zoomScale="190" zoomScaleNormal="190" topLeftCell="A5" workbookViewId="0">
      <selection activeCell="C39" sqref="C39:D62"/>
    </sheetView>
  </sheetViews>
  <sheetFormatPr defaultColWidth="9" defaultRowHeight="14.4"/>
  <cols>
    <col min="1" max="1" width="11" customWidth="1"/>
    <col min="2" max="2" width="14.5740740740741" customWidth="1"/>
    <col min="8" max="13" width="9.85185185185185" customWidth="1"/>
    <col min="14" max="14" width="12.1388888888889" customWidth="1"/>
  </cols>
  <sheetData>
    <row r="1" spans="3:13">
      <c r="C1" s="5">
        <v>2009</v>
      </c>
      <c r="D1" s="5">
        <v>2010</v>
      </c>
      <c r="E1" s="5">
        <v>2011</v>
      </c>
      <c r="F1" s="5">
        <v>2012</v>
      </c>
      <c r="G1" s="5">
        <v>2013</v>
      </c>
      <c r="H1" s="5">
        <v>2014</v>
      </c>
      <c r="I1" s="5">
        <v>2015</v>
      </c>
      <c r="J1" s="5">
        <v>2016</v>
      </c>
      <c r="K1" s="5">
        <v>2017</v>
      </c>
      <c r="L1" s="5">
        <v>2018</v>
      </c>
      <c r="M1" s="5">
        <v>2019</v>
      </c>
    </row>
    <row r="2" spans="1:13">
      <c r="A2" t="s">
        <v>0</v>
      </c>
      <c r="C2">
        <v>871572</v>
      </c>
      <c r="D2">
        <v>878294</v>
      </c>
      <c r="E2">
        <v>847465</v>
      </c>
      <c r="F2">
        <v>831091</v>
      </c>
      <c r="G2">
        <v>851166</v>
      </c>
      <c r="H2">
        <v>859692</v>
      </c>
      <c r="I2">
        <v>874902</v>
      </c>
      <c r="J2">
        <v>897091</v>
      </c>
      <c r="K2">
        <v>913266</v>
      </c>
      <c r="L2">
        <v>948108</v>
      </c>
      <c r="M2">
        <v>968796</v>
      </c>
    </row>
    <row r="3" spans="1:13">
      <c r="A3" t="s">
        <v>1</v>
      </c>
      <c r="C3">
        <v>1129491</v>
      </c>
      <c r="D3">
        <v>1133435</v>
      </c>
      <c r="E3">
        <v>1145420</v>
      </c>
      <c r="F3">
        <v>1107296</v>
      </c>
      <c r="G3">
        <v>1083316</v>
      </c>
      <c r="H3">
        <v>1118567</v>
      </c>
      <c r="I3">
        <v>1227485</v>
      </c>
      <c r="J3">
        <v>1190324</v>
      </c>
      <c r="K3">
        <v>1248362</v>
      </c>
      <c r="L3">
        <v>1373550</v>
      </c>
      <c r="M3">
        <v>1405256</v>
      </c>
    </row>
    <row r="4" spans="1:13">
      <c r="A4" t="s">
        <v>2</v>
      </c>
      <c r="C4">
        <v>2012738</v>
      </c>
      <c r="D4">
        <v>2040825</v>
      </c>
      <c r="E4">
        <v>2048627</v>
      </c>
      <c r="F4">
        <v>2026013</v>
      </c>
      <c r="G4">
        <v>2043270</v>
      </c>
      <c r="H4">
        <v>2071412</v>
      </c>
      <c r="I4">
        <v>2152039</v>
      </c>
      <c r="J4">
        <v>2231832</v>
      </c>
      <c r="K4">
        <v>2319526</v>
      </c>
      <c r="L4">
        <v>2396584</v>
      </c>
      <c r="M4" s="22">
        <v>2466666</v>
      </c>
    </row>
    <row r="5" spans="1:15">
      <c r="A5" t="s">
        <v>3</v>
      </c>
      <c r="C5" s="116">
        <v>-36054</v>
      </c>
      <c r="D5" s="116">
        <v>4886</v>
      </c>
      <c r="E5" s="116">
        <v>14066</v>
      </c>
      <c r="F5" s="116">
        <v>2351</v>
      </c>
      <c r="G5" s="116">
        <v>-20118</v>
      </c>
      <c r="H5" s="116">
        <v>20542</v>
      </c>
      <c r="I5" s="116">
        <v>61320</v>
      </c>
      <c r="J5" s="116">
        <v>44528</v>
      </c>
      <c r="K5" s="116">
        <v>68652</v>
      </c>
      <c r="L5" s="116">
        <v>39990</v>
      </c>
      <c r="M5" s="116">
        <v>30937</v>
      </c>
      <c r="O5" t="s">
        <v>4</v>
      </c>
    </row>
    <row r="6" spans="1:15">
      <c r="A6" s="117" t="s">
        <v>5</v>
      </c>
      <c r="B6" s="117"/>
      <c r="C6" s="117">
        <v>2495369</v>
      </c>
      <c r="D6" s="117">
        <v>2864457</v>
      </c>
      <c r="E6" s="117">
        <v>3125604</v>
      </c>
      <c r="F6" s="117">
        <v>3256940</v>
      </c>
      <c r="G6" s="117">
        <v>3267955</v>
      </c>
      <c r="H6" s="117">
        <v>3551989</v>
      </c>
      <c r="I6" s="117">
        <v>3770768</v>
      </c>
      <c r="J6" s="117">
        <v>3933027</v>
      </c>
      <c r="K6" s="117">
        <v>4218372</v>
      </c>
      <c r="L6" s="117">
        <v>4378233</v>
      </c>
      <c r="M6" s="123">
        <v>4437062</v>
      </c>
      <c r="O6">
        <f>MAX(M2:M5,M8)</f>
        <v>2466666</v>
      </c>
    </row>
    <row r="7" spans="1:13">
      <c r="A7" s="117" t="s">
        <v>6</v>
      </c>
      <c r="B7" s="117"/>
      <c r="C7" s="117">
        <v>2358580</v>
      </c>
      <c r="D7" s="117">
        <v>2711172</v>
      </c>
      <c r="E7" s="117">
        <v>2892721</v>
      </c>
      <c r="F7" s="117">
        <v>2967102</v>
      </c>
      <c r="G7" s="117">
        <v>2971476</v>
      </c>
      <c r="H7" s="117">
        <v>3267963</v>
      </c>
      <c r="I7" s="117">
        <v>3495933</v>
      </c>
      <c r="J7" s="117">
        <v>3594049</v>
      </c>
      <c r="K7" s="117">
        <v>3821393</v>
      </c>
      <c r="L7" s="117">
        <v>4044849</v>
      </c>
      <c r="M7" s="117">
        <v>4102391</v>
      </c>
    </row>
    <row r="8" spans="2:13">
      <c r="B8" t="s">
        <v>7</v>
      </c>
      <c r="C8" s="5">
        <f>C6-C7</f>
        <v>136789</v>
      </c>
      <c r="D8" s="5">
        <f t="shared" ref="D8:M8" si="0">D6-D7</f>
        <v>153285</v>
      </c>
      <c r="E8" s="5">
        <f t="shared" si="0"/>
        <v>232883</v>
      </c>
      <c r="F8" s="5">
        <f t="shared" si="0"/>
        <v>289838</v>
      </c>
      <c r="G8" s="5">
        <f t="shared" si="0"/>
        <v>296479</v>
      </c>
      <c r="H8" s="5">
        <f t="shared" si="0"/>
        <v>284026</v>
      </c>
      <c r="I8" s="5">
        <f t="shared" si="0"/>
        <v>274835</v>
      </c>
      <c r="J8" s="5">
        <f t="shared" si="0"/>
        <v>338978</v>
      </c>
      <c r="K8" s="5">
        <f t="shared" si="0"/>
        <v>396979</v>
      </c>
      <c r="L8" s="5">
        <f t="shared" si="0"/>
        <v>333384</v>
      </c>
      <c r="M8" s="63">
        <f t="shared" si="0"/>
        <v>334671</v>
      </c>
    </row>
    <row r="11" ht="14.45" customHeight="1"/>
    <row r="12" spans="1:1">
      <c r="A12" t="s">
        <v>8</v>
      </c>
    </row>
    <row r="13" spans="1:1">
      <c r="A13" t="s">
        <v>9</v>
      </c>
    </row>
    <row r="14" spans="1:13">
      <c r="A14" s="118" t="s">
        <v>10</v>
      </c>
      <c r="C14" s="119">
        <v>2009</v>
      </c>
      <c r="D14" s="119">
        <v>2010</v>
      </c>
      <c r="E14" s="119">
        <v>2011</v>
      </c>
      <c r="F14" s="119">
        <v>2012</v>
      </c>
      <c r="G14" s="119">
        <v>2013</v>
      </c>
      <c r="H14" s="119">
        <v>2014</v>
      </c>
      <c r="I14" s="119">
        <v>2015</v>
      </c>
      <c r="J14" s="119">
        <v>2016</v>
      </c>
      <c r="K14" s="119">
        <v>2017</v>
      </c>
      <c r="L14" s="119">
        <v>2018</v>
      </c>
      <c r="M14" s="119">
        <v>2019</v>
      </c>
    </row>
    <row r="15" spans="1:13">
      <c r="A15" s="120" t="s">
        <v>11</v>
      </c>
      <c r="C15" s="116">
        <v>9298076</v>
      </c>
      <c r="D15" s="116">
        <v>9725227</v>
      </c>
      <c r="E15" s="116">
        <v>9983549</v>
      </c>
      <c r="F15" s="116">
        <v>9758838</v>
      </c>
      <c r="G15" s="116">
        <v>9754077</v>
      </c>
      <c r="H15" s="116">
        <v>10115629</v>
      </c>
      <c r="I15" s="116">
        <v>10634751</v>
      </c>
      <c r="J15" s="116">
        <v>10917190</v>
      </c>
      <c r="K15" s="116">
        <v>11564120</v>
      </c>
      <c r="L15" s="116">
        <v>12036292</v>
      </c>
      <c r="M15" s="116">
        <v>12299290</v>
      </c>
    </row>
    <row r="16" spans="1:13">
      <c r="A16" s="120" t="s">
        <v>12</v>
      </c>
      <c r="C16" s="116">
        <v>5579240</v>
      </c>
      <c r="D16" s="116">
        <v>5895660</v>
      </c>
      <c r="E16" s="116">
        <v>6086153</v>
      </c>
      <c r="F16" s="116">
        <v>5896855</v>
      </c>
      <c r="G16" s="116">
        <v>5892780</v>
      </c>
      <c r="H16" s="116">
        <v>6142380</v>
      </c>
      <c r="I16" s="116">
        <v>6469577</v>
      </c>
      <c r="J16" s="116">
        <v>6647958</v>
      </c>
      <c r="K16" s="116">
        <v>7073841</v>
      </c>
      <c r="L16" s="116">
        <v>7395050</v>
      </c>
      <c r="M16" s="116">
        <v>7556068</v>
      </c>
    </row>
    <row r="17" spans="1:13">
      <c r="A17" s="120" t="s">
        <v>13</v>
      </c>
      <c r="C17" s="116">
        <v>3717603</v>
      </c>
      <c r="D17" s="116">
        <v>3829223</v>
      </c>
      <c r="E17" s="116">
        <v>3896473</v>
      </c>
      <c r="F17" s="116">
        <v>3863790</v>
      </c>
      <c r="G17" s="116">
        <v>3863175</v>
      </c>
      <c r="H17" s="116">
        <v>3973593</v>
      </c>
      <c r="I17" s="116">
        <v>4165174</v>
      </c>
      <c r="J17" s="116">
        <v>4269232</v>
      </c>
      <c r="K17" s="116">
        <v>4491268</v>
      </c>
      <c r="L17" s="116">
        <v>4643301</v>
      </c>
      <c r="M17" s="116">
        <v>4745299</v>
      </c>
    </row>
    <row r="18" spans="1:13">
      <c r="A18" s="120" t="s">
        <v>14</v>
      </c>
      <c r="C18" s="116">
        <v>533610</v>
      </c>
      <c r="D18" s="116">
        <v>520926</v>
      </c>
      <c r="E18" s="116">
        <v>527240</v>
      </c>
      <c r="F18" s="116">
        <v>518165</v>
      </c>
      <c r="G18" s="116">
        <v>511372</v>
      </c>
      <c r="H18" s="116">
        <v>499982</v>
      </c>
      <c r="I18" s="116">
        <v>546676</v>
      </c>
      <c r="J18" s="116">
        <v>562630</v>
      </c>
      <c r="K18" s="116">
        <v>588096</v>
      </c>
      <c r="L18" s="116">
        <v>596551</v>
      </c>
      <c r="M18" s="116">
        <v>615653</v>
      </c>
    </row>
    <row r="19" spans="1:13">
      <c r="A19" s="120" t="s">
        <v>15</v>
      </c>
      <c r="C19" s="116">
        <v>-99390</v>
      </c>
      <c r="D19" s="116">
        <v>-102742</v>
      </c>
      <c r="E19" s="116">
        <v>-99266</v>
      </c>
      <c r="F19" s="116">
        <v>-89614</v>
      </c>
      <c r="G19" s="116">
        <v>-83459</v>
      </c>
      <c r="H19" s="116">
        <v>-84665</v>
      </c>
      <c r="I19" s="116">
        <v>-86472</v>
      </c>
      <c r="J19" s="116">
        <v>-89125</v>
      </c>
      <c r="K19" s="116">
        <v>-91435</v>
      </c>
      <c r="L19" s="116">
        <v>-92187</v>
      </c>
      <c r="M19" s="116">
        <v>-94199</v>
      </c>
    </row>
    <row r="20" spans="1:13">
      <c r="A20" s="121" t="s">
        <v>16</v>
      </c>
      <c r="B20" s="22"/>
      <c r="C20" s="122">
        <v>4151789</v>
      </c>
      <c r="D20" s="122">
        <v>4252881</v>
      </c>
      <c r="E20" s="122">
        <v>4327747</v>
      </c>
      <c r="F20" s="122">
        <v>4293774</v>
      </c>
      <c r="G20" s="122">
        <v>4291803</v>
      </c>
      <c r="H20" s="122">
        <v>4388888</v>
      </c>
      <c r="I20" s="122">
        <v>4625378</v>
      </c>
      <c r="J20" s="122">
        <v>4742737</v>
      </c>
      <c r="K20" s="122">
        <v>4987876</v>
      </c>
      <c r="L20" s="122">
        <v>5147421</v>
      </c>
      <c r="M20" s="122">
        <v>5266512</v>
      </c>
    </row>
    <row r="22" spans="1:1">
      <c r="A22" t="s">
        <v>17</v>
      </c>
    </row>
  </sheetData>
  <mergeCells count="7">
    <mergeCell ref="A14:B14"/>
    <mergeCell ref="A15:B15"/>
    <mergeCell ref="A16:B16"/>
    <mergeCell ref="A17:B17"/>
    <mergeCell ref="A18:B18"/>
    <mergeCell ref="A19:B19"/>
    <mergeCell ref="A20:B20"/>
  </mergeCells>
  <pageMargins left="0.7" right="0.7" top="0.787401575" bottom="0.7874015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223"/>
  <sheetViews>
    <sheetView tabSelected="1" zoomScale="85" zoomScaleNormal="85" topLeftCell="A102" workbookViewId="0">
      <selection activeCell="AA6" sqref="AA6:AE10"/>
    </sheetView>
  </sheetViews>
  <sheetFormatPr defaultColWidth="9" defaultRowHeight="14.4"/>
  <cols>
    <col min="1" max="1" width="46.712962962963" customWidth="1"/>
    <col min="2" max="2" width="39.712962962963" customWidth="1"/>
    <col min="3" max="3" width="52.8518518518519" customWidth="1"/>
    <col min="4" max="4" width="20.712962962963" customWidth="1"/>
    <col min="5" max="5" width="11.287037037037" customWidth="1"/>
    <col min="6" max="6" width="12.1388888888889" customWidth="1"/>
    <col min="7" max="7" width="10.8518518518519" customWidth="1"/>
    <col min="8" max="8" width="9.71296296296296" customWidth="1"/>
    <col min="9" max="9" width="15.8518518518519" customWidth="1"/>
    <col min="10" max="10" width="17.287037037037" customWidth="1"/>
    <col min="11" max="11" width="24.8518518518519" customWidth="1"/>
    <col min="14" max="14" width="11.287037037037" customWidth="1"/>
    <col min="16" max="16" width="12.712962962963" customWidth="1"/>
    <col min="18" max="18" width="14.5740740740741" customWidth="1"/>
  </cols>
  <sheetData>
    <row r="1" spans="14:16">
      <c r="N1" s="5" t="s">
        <v>18</v>
      </c>
      <c r="O1" s="5"/>
      <c r="P1" s="5"/>
    </row>
    <row r="2" ht="15.15" spans="14:16">
      <c r="N2" s="5" t="s">
        <v>19</v>
      </c>
      <c r="O2" s="5"/>
      <c r="P2" s="5"/>
    </row>
    <row r="3" spans="1:16">
      <c r="A3" s="22" t="s">
        <v>20</v>
      </c>
      <c r="B3" s="22"/>
      <c r="C3" s="63" t="s">
        <v>21</v>
      </c>
      <c r="D3" s="64" t="s">
        <v>22</v>
      </c>
      <c r="E3" s="22"/>
      <c r="N3" s="5" t="s">
        <v>23</v>
      </c>
      <c r="O3" s="5"/>
      <c r="P3" s="5"/>
    </row>
    <row r="4" ht="15.15" spans="4:14">
      <c r="D4" s="65" t="s">
        <v>24</v>
      </c>
      <c r="E4" s="22"/>
      <c r="H4" s="5" t="s">
        <v>25</v>
      </c>
      <c r="J4" t="s">
        <v>26</v>
      </c>
      <c r="N4" t="s">
        <v>27</v>
      </c>
    </row>
    <row r="5" ht="15.15" spans="8:14">
      <c r="H5" s="64" t="s">
        <v>28</v>
      </c>
      <c r="I5" s="79"/>
      <c r="J5" s="79" t="s">
        <v>29</v>
      </c>
      <c r="K5" s="27"/>
      <c r="N5" t="s">
        <v>30</v>
      </c>
    </row>
    <row r="6" ht="15.15" spans="1:28">
      <c r="A6" s="26" t="s">
        <v>31</v>
      </c>
      <c r="B6" s="66"/>
      <c r="C6" s="50" t="s">
        <v>32</v>
      </c>
      <c r="H6" s="65" t="s">
        <v>33</v>
      </c>
      <c r="I6" s="80"/>
      <c r="J6" s="53" t="s">
        <v>34</v>
      </c>
      <c r="K6" s="29" t="s">
        <v>35</v>
      </c>
      <c r="N6" t="s">
        <v>36</v>
      </c>
      <c r="AA6" s="5"/>
      <c r="AB6" s="5"/>
    </row>
    <row r="7" ht="15.15" spans="1:9">
      <c r="A7" s="28" t="s">
        <v>37</v>
      </c>
      <c r="B7" s="53"/>
      <c r="C7" s="67" t="s">
        <v>38</v>
      </c>
      <c r="H7" s="68" t="s">
        <v>39</v>
      </c>
      <c r="I7" s="81"/>
    </row>
    <row r="8" ht="15.15" spans="8:9">
      <c r="H8" s="69" t="s">
        <v>40</v>
      </c>
      <c r="I8" s="82"/>
    </row>
    <row r="9" spans="8:11">
      <c r="H9" s="26" t="s">
        <v>41</v>
      </c>
      <c r="I9" s="66"/>
      <c r="J9" s="79" t="s">
        <v>42</v>
      </c>
      <c r="K9" s="50" t="s">
        <v>43</v>
      </c>
    </row>
    <row r="10" ht="15.15" spans="8:11">
      <c r="H10" s="70" t="s">
        <v>44</v>
      </c>
      <c r="I10" s="83"/>
      <c r="J10" s="80" t="s">
        <v>45</v>
      </c>
      <c r="K10" s="29"/>
    </row>
    <row r="11" spans="8:10">
      <c r="H11" t="s">
        <v>46</v>
      </c>
      <c r="J11" t="s">
        <v>18</v>
      </c>
    </row>
    <row r="12" ht="15.15" spans="8:10">
      <c r="H12" t="s">
        <v>47</v>
      </c>
      <c r="J12" s="5" t="s">
        <v>48</v>
      </c>
    </row>
    <row r="13" ht="15.15" spans="8:18">
      <c r="H13" s="22" t="s">
        <v>20</v>
      </c>
      <c r="I13" s="22"/>
      <c r="J13" s="63" t="s">
        <v>21</v>
      </c>
      <c r="K13" s="64" t="s">
        <v>22</v>
      </c>
      <c r="L13" s="84"/>
      <c r="M13" s="5"/>
      <c r="N13" s="5"/>
      <c r="O13" s="5"/>
      <c r="P13" s="5"/>
      <c r="Q13" s="5"/>
      <c r="R13" s="5"/>
    </row>
    <row r="14" ht="15.15" spans="8:12">
      <c r="H14" s="26" t="s">
        <v>49</v>
      </c>
      <c r="I14" s="27"/>
      <c r="K14" s="65" t="s">
        <v>24</v>
      </c>
      <c r="L14" s="85"/>
    </row>
    <row r="15" ht="18" spans="8:14">
      <c r="H15" s="51" t="s">
        <v>50</v>
      </c>
      <c r="I15" s="52"/>
      <c r="N15" s="86" t="s">
        <v>51</v>
      </c>
    </row>
    <row r="16" ht="15.15" spans="8:10">
      <c r="H16" s="51" t="s">
        <v>52</v>
      </c>
      <c r="I16" s="52"/>
      <c r="J16" t="s">
        <v>53</v>
      </c>
    </row>
    <row r="17" spans="8:14">
      <c r="H17" s="26" t="s">
        <v>31</v>
      </c>
      <c r="I17" s="66"/>
      <c r="J17" s="50" t="s">
        <v>32</v>
      </c>
      <c r="N17" t="s">
        <v>54</v>
      </c>
    </row>
    <row r="18" ht="15.15" spans="8:10">
      <c r="H18" s="28" t="s">
        <v>37</v>
      </c>
      <c r="I18" s="53"/>
      <c r="J18" s="67" t="s">
        <v>38</v>
      </c>
    </row>
    <row r="19" spans="8:14">
      <c r="H19" s="26" t="s">
        <v>55</v>
      </c>
      <c r="I19" s="66"/>
      <c r="J19" s="27"/>
      <c r="N19" t="s">
        <v>56</v>
      </c>
    </row>
    <row r="20" spans="8:14">
      <c r="H20" s="51" t="s">
        <v>57</v>
      </c>
      <c r="J20" s="52"/>
      <c r="N20" t="s">
        <v>58</v>
      </c>
    </row>
    <row r="21" spans="8:14">
      <c r="H21" s="51" t="s">
        <v>59</v>
      </c>
      <c r="J21" s="87" t="s">
        <v>60</v>
      </c>
      <c r="N21" t="s">
        <v>61</v>
      </c>
    </row>
    <row r="22" spans="8:14">
      <c r="H22" s="71" t="s">
        <v>62</v>
      </c>
      <c r="I22" s="22"/>
      <c r="J22" s="87" t="s">
        <v>63</v>
      </c>
      <c r="N22" t="s">
        <v>64</v>
      </c>
    </row>
    <row r="23" spans="8:14">
      <c r="H23" s="71" t="s">
        <v>65</v>
      </c>
      <c r="I23" s="22"/>
      <c r="J23" s="87" t="s">
        <v>43</v>
      </c>
      <c r="N23" t="s">
        <v>66</v>
      </c>
    </row>
    <row r="24" spans="8:14">
      <c r="H24" s="51" t="s">
        <v>67</v>
      </c>
      <c r="J24" s="52"/>
      <c r="N24" s="5" t="s">
        <v>68</v>
      </c>
    </row>
    <row r="25" spans="8:14">
      <c r="H25" s="72" t="s">
        <v>69</v>
      </c>
      <c r="I25" s="5"/>
      <c r="J25" s="52"/>
      <c r="N25" t="s">
        <v>70</v>
      </c>
    </row>
    <row r="26" spans="8:14">
      <c r="H26" s="72" t="s">
        <v>71</v>
      </c>
      <c r="I26" s="5"/>
      <c r="J26" s="52"/>
      <c r="N26" t="s">
        <v>72</v>
      </c>
    </row>
    <row r="27" ht="15.15" spans="8:14">
      <c r="H27" s="65" t="s">
        <v>73</v>
      </c>
      <c r="I27" s="80"/>
      <c r="J27" s="85" t="s">
        <v>74</v>
      </c>
      <c r="N27" t="s">
        <v>75</v>
      </c>
    </row>
    <row r="28" spans="7:14">
      <c r="G28" t="s">
        <v>76</v>
      </c>
      <c r="H28" s="73" t="s">
        <v>77</v>
      </c>
      <c r="I28" s="73"/>
      <c r="N28" s="5" t="s">
        <v>78</v>
      </c>
    </row>
    <row r="29" spans="8:9">
      <c r="H29" s="73" t="s">
        <v>79</v>
      </c>
      <c r="I29" s="73"/>
    </row>
    <row r="30" spans="8:10">
      <c r="H30" t="s">
        <v>80</v>
      </c>
      <c r="J30" s="5" t="s">
        <v>43</v>
      </c>
    </row>
    <row r="31" ht="18" spans="8:14">
      <c r="H31" t="s">
        <v>81</v>
      </c>
      <c r="N31" s="86" t="s">
        <v>82</v>
      </c>
    </row>
    <row r="32" spans="8:8">
      <c r="H32" t="s">
        <v>83</v>
      </c>
    </row>
    <row r="33" spans="8:14">
      <c r="H33" t="s">
        <v>84</v>
      </c>
      <c r="N33" t="s">
        <v>85</v>
      </c>
    </row>
    <row r="34" spans="8:8">
      <c r="H34" t="s">
        <v>86</v>
      </c>
    </row>
    <row r="36" spans="8:10">
      <c r="H36" t="s">
        <v>87</v>
      </c>
      <c r="J36" t="s">
        <v>88</v>
      </c>
    </row>
    <row r="37" spans="14:14">
      <c r="N37" t="s">
        <v>89</v>
      </c>
    </row>
    <row r="39" ht="18" spans="14:14">
      <c r="N39" s="86" t="s">
        <v>90</v>
      </c>
    </row>
    <row r="41" spans="3:14">
      <c r="C41" s="5"/>
      <c r="N41" t="s">
        <v>91</v>
      </c>
    </row>
    <row r="42" spans="3:4">
      <c r="C42" s="17"/>
      <c r="D42" s="17"/>
    </row>
    <row r="43" spans="3:4">
      <c r="C43" s="17"/>
      <c r="D43" s="17"/>
    </row>
    <row r="49" ht="17.4" spans="2:4">
      <c r="B49" s="74" t="s">
        <v>92</v>
      </c>
      <c r="D49" t="s">
        <v>93</v>
      </c>
    </row>
    <row r="50" ht="52.8" spans="1:4">
      <c r="A50" t="s">
        <v>94</v>
      </c>
      <c r="B50" s="75" t="s">
        <v>95</v>
      </c>
      <c r="C50" s="5" t="s">
        <v>96</v>
      </c>
      <c r="D50" s="5">
        <f>4235-4150</f>
        <v>85</v>
      </c>
    </row>
    <row r="52" spans="3:6">
      <c r="C52" s="76"/>
      <c r="F52" s="22"/>
    </row>
    <row r="53" ht="30" customHeight="1" spans="2:2">
      <c r="B53" s="75"/>
    </row>
    <row r="54" ht="50.45" customHeight="1" spans="2:2">
      <c r="B54" s="77"/>
    </row>
    <row r="55" spans="2:2">
      <c r="B55" s="77"/>
    </row>
    <row r="56" spans="2:2">
      <c r="B56" s="46"/>
    </row>
    <row r="59" spans="1:4">
      <c r="A59" s="78" t="s">
        <v>97</v>
      </c>
      <c r="B59" s="47"/>
      <c r="C59" s="47"/>
      <c r="D59" s="47"/>
    </row>
    <row r="61" spans="2:10">
      <c r="B61" s="5" t="s">
        <v>98</v>
      </c>
      <c r="J61" s="5" t="s">
        <v>99</v>
      </c>
    </row>
    <row r="62" spans="2:10">
      <c r="B62" t="s">
        <v>100</v>
      </c>
      <c r="J62" t="s">
        <v>101</v>
      </c>
    </row>
    <row r="63" spans="2:10">
      <c r="B63" t="s">
        <v>102</v>
      </c>
      <c r="I63" t="s">
        <v>103</v>
      </c>
      <c r="J63" t="s">
        <v>104</v>
      </c>
    </row>
    <row r="64" spans="2:14">
      <c r="B64" t="s">
        <v>105</v>
      </c>
      <c r="I64" s="63" t="s">
        <v>21</v>
      </c>
      <c r="J64" s="5" t="s">
        <v>106</v>
      </c>
      <c r="M64" t="s">
        <v>7</v>
      </c>
      <c r="N64" s="88">
        <f>J73-J75</f>
        <v>-20000</v>
      </c>
    </row>
    <row r="65" spans="2:10">
      <c r="B65" t="s">
        <v>107</v>
      </c>
      <c r="C65" s="2">
        <f>B76-D76</f>
        <v>2190</v>
      </c>
      <c r="D65" s="2"/>
      <c r="J65" s="5"/>
    </row>
    <row r="66" spans="2:10">
      <c r="B66" t="s">
        <v>108</v>
      </c>
      <c r="C66" s="22">
        <f>C65-D75</f>
        <v>1910</v>
      </c>
      <c r="D66" s="22">
        <f>D78-D75-D76</f>
        <v>1910</v>
      </c>
      <c r="E66" s="63" t="s">
        <v>21</v>
      </c>
      <c r="F66" s="22"/>
      <c r="J66" t="s">
        <v>109</v>
      </c>
    </row>
    <row r="67" spans="2:13">
      <c r="B67" s="5" t="s">
        <v>110</v>
      </c>
      <c r="C67" s="5" t="s">
        <v>111</v>
      </c>
      <c r="J67" s="101">
        <v>200000</v>
      </c>
      <c r="M67" t="s">
        <v>112</v>
      </c>
    </row>
    <row r="68" spans="10:14">
      <c r="J68" t="s">
        <v>113</v>
      </c>
      <c r="L68" s="5" t="s">
        <v>114</v>
      </c>
      <c r="M68" s="102">
        <f>J67+J69+J71+J73-J75</f>
        <v>346000</v>
      </c>
      <c r="N68" s="88">
        <f>J67+J69+J71+N64</f>
        <v>346000</v>
      </c>
    </row>
    <row r="69" spans="10:14">
      <c r="J69" s="101">
        <v>110000</v>
      </c>
      <c r="L69" s="5" t="s">
        <v>115</v>
      </c>
      <c r="M69" s="88">
        <f>M68-J81</f>
        <v>273000</v>
      </c>
      <c r="N69" s="2"/>
    </row>
    <row r="70" ht="18" spans="1:20">
      <c r="A70" t="s">
        <v>116</v>
      </c>
      <c r="B70">
        <v>1180</v>
      </c>
      <c r="C70" s="89" t="s">
        <v>117</v>
      </c>
      <c r="D70" s="90">
        <v>1080</v>
      </c>
      <c r="J70" t="s">
        <v>118</v>
      </c>
      <c r="Q70" s="109" t="s">
        <v>20</v>
      </c>
      <c r="R70" s="109"/>
      <c r="S70" s="110" t="s">
        <v>21</v>
      </c>
      <c r="T70" s="7"/>
    </row>
    <row r="71" ht="15.15" spans="1:13">
      <c r="A71" t="s">
        <v>119</v>
      </c>
      <c r="B71">
        <v>640</v>
      </c>
      <c r="C71" s="91" t="s">
        <v>120</v>
      </c>
      <c r="D71" s="92">
        <v>460</v>
      </c>
      <c r="J71" s="101">
        <v>56000</v>
      </c>
      <c r="M71" t="s">
        <v>121</v>
      </c>
    </row>
    <row r="72" ht="15.15" spans="1:15">
      <c r="A72" t="s">
        <v>122</v>
      </c>
      <c r="B72">
        <v>500</v>
      </c>
      <c r="C72" s="91" t="s">
        <v>123</v>
      </c>
      <c r="D72" s="92">
        <v>170</v>
      </c>
      <c r="J72" t="s">
        <v>124</v>
      </c>
      <c r="L72" s="3" t="s">
        <v>125</v>
      </c>
      <c r="M72" s="103">
        <f>M68-J77-J81</f>
        <v>183000</v>
      </c>
      <c r="N72" s="104">
        <f>M69-J77</f>
        <v>183000</v>
      </c>
      <c r="O72" s="4" t="s">
        <v>126</v>
      </c>
    </row>
    <row r="73" spans="1:10">
      <c r="A73" t="s">
        <v>127</v>
      </c>
      <c r="B73">
        <v>1480</v>
      </c>
      <c r="C73" s="91" t="s">
        <v>128</v>
      </c>
      <c r="D73" s="92">
        <v>50</v>
      </c>
      <c r="J73" s="101">
        <v>130000</v>
      </c>
    </row>
    <row r="74" spans="1:10">
      <c r="A74" t="s">
        <v>129</v>
      </c>
      <c r="B74">
        <v>1540</v>
      </c>
      <c r="C74" s="93" t="s">
        <v>130</v>
      </c>
      <c r="D74" s="94">
        <v>150</v>
      </c>
      <c r="J74" t="s">
        <v>131</v>
      </c>
    </row>
    <row r="75" spans="1:10">
      <c r="A75" t="s">
        <v>132</v>
      </c>
      <c r="B75">
        <f>B73-B74</f>
        <v>-60</v>
      </c>
      <c r="C75" t="s">
        <v>133</v>
      </c>
      <c r="D75">
        <v>280</v>
      </c>
      <c r="J75" s="101">
        <v>150000</v>
      </c>
    </row>
    <row r="76" spans="1:10">
      <c r="A76" s="22" t="s">
        <v>134</v>
      </c>
      <c r="B76" s="22">
        <f>SUM(B70:B72,B75)</f>
        <v>2260</v>
      </c>
      <c r="C76" s="5" t="s">
        <v>135</v>
      </c>
      <c r="D76" s="5">
        <v>70</v>
      </c>
      <c r="J76" t="s">
        <v>136</v>
      </c>
    </row>
    <row r="77" spans="10:10">
      <c r="J77" s="101">
        <v>90000</v>
      </c>
    </row>
    <row r="78" spans="3:10">
      <c r="C78" s="22" t="s">
        <v>134</v>
      </c>
      <c r="D78" s="22">
        <f>SUM(D70:D76)</f>
        <v>2260</v>
      </c>
      <c r="E78">
        <f>D78-D76</f>
        <v>2190</v>
      </c>
      <c r="J78" s="1" t="s">
        <v>137</v>
      </c>
    </row>
    <row r="79" spans="3:11">
      <c r="C79" t="s">
        <v>103</v>
      </c>
      <c r="D79">
        <f>SUM(D70:D74)</f>
        <v>1910</v>
      </c>
      <c r="J79" s="105">
        <v>26000</v>
      </c>
      <c r="K79" t="s">
        <v>138</v>
      </c>
    </row>
    <row r="80" spans="10:10">
      <c r="J80" t="s">
        <v>139</v>
      </c>
    </row>
    <row r="81" spans="10:10">
      <c r="J81" s="101">
        <v>73000</v>
      </c>
    </row>
    <row r="93" spans="1:1">
      <c r="A93" t="s">
        <v>140</v>
      </c>
    </row>
    <row r="94" spans="1:1">
      <c r="A94" t="s">
        <v>141</v>
      </c>
    </row>
    <row r="95" spans="1:1">
      <c r="A95" t="s">
        <v>142</v>
      </c>
    </row>
    <row r="97" ht="15.15" spans="2:12">
      <c r="B97" t="s">
        <v>143</v>
      </c>
      <c r="D97" t="s">
        <v>144</v>
      </c>
      <c r="E97" t="s">
        <v>143</v>
      </c>
      <c r="G97" t="s">
        <v>144</v>
      </c>
      <c r="H97" s="22" t="s">
        <v>145</v>
      </c>
      <c r="I97" t="s">
        <v>146</v>
      </c>
      <c r="J97" t="s">
        <v>147</v>
      </c>
      <c r="L97" t="s">
        <v>147</v>
      </c>
    </row>
    <row r="98" ht="15.15" spans="2:13">
      <c r="B98">
        <v>15</v>
      </c>
      <c r="C98">
        <v>250</v>
      </c>
      <c r="D98" s="95">
        <f>B98*C98</f>
        <v>3750</v>
      </c>
      <c r="E98">
        <v>16</v>
      </c>
      <c r="F98">
        <v>270</v>
      </c>
      <c r="G98" s="95">
        <f>E98*F98</f>
        <v>4320</v>
      </c>
      <c r="H98" s="22">
        <f>F98*B98</f>
        <v>4050</v>
      </c>
      <c r="I98">
        <f>H98/D98</f>
        <v>1.08</v>
      </c>
      <c r="J98">
        <f>(H98-D98)/D98</f>
        <v>0.08</v>
      </c>
      <c r="K98">
        <f>I98*100</f>
        <v>108</v>
      </c>
      <c r="L98">
        <f>J98*100</f>
        <v>8</v>
      </c>
      <c r="M98" t="s">
        <v>148</v>
      </c>
    </row>
    <row r="103" ht="15.15"/>
    <row r="104" spans="5:10">
      <c r="E104" t="s">
        <v>149</v>
      </c>
      <c r="F104">
        <f>G98/D98</f>
        <v>1.152</v>
      </c>
      <c r="G104" s="26" t="s">
        <v>150</v>
      </c>
      <c r="H104" s="66"/>
      <c r="I104" s="66">
        <f>ROUND(F104,3)</f>
        <v>1.152</v>
      </c>
      <c r="J104" s="27">
        <f>I104-1</f>
        <v>0.152</v>
      </c>
    </row>
    <row r="105" spans="6:10">
      <c r="F105">
        <f>E98/B98</f>
        <v>1.06666666666667</v>
      </c>
      <c r="G105" s="51" t="s">
        <v>151</v>
      </c>
      <c r="I105">
        <f>ROUND(F105,3)</f>
        <v>1.067</v>
      </c>
      <c r="J105" s="52">
        <f>I105-1</f>
        <v>0.0669999999999999</v>
      </c>
    </row>
    <row r="106" ht="15.15" spans="6:10">
      <c r="F106">
        <f>F104-F105</f>
        <v>0.0853333333333333</v>
      </c>
      <c r="G106" s="28" t="s">
        <v>152</v>
      </c>
      <c r="H106" s="53"/>
      <c r="I106" s="53">
        <f>ROUND(F106,3)</f>
        <v>0.085</v>
      </c>
      <c r="J106" s="29">
        <f>J104-J105</f>
        <v>0.085</v>
      </c>
    </row>
    <row r="113" spans="3:3">
      <c r="C113" s="22" t="s">
        <v>153</v>
      </c>
    </row>
    <row r="114" spans="3:3">
      <c r="C114" s="22" t="s">
        <v>154</v>
      </c>
    </row>
    <row r="115" spans="1:1">
      <c r="A115" t="s">
        <v>155</v>
      </c>
    </row>
    <row r="116" spans="1:10">
      <c r="A116" t="s">
        <v>156</v>
      </c>
      <c r="C116" s="8">
        <f>6000-(800-200)</f>
        <v>5400</v>
      </c>
      <c r="D116" s="2"/>
      <c r="E116" s="2" t="s">
        <v>157</v>
      </c>
      <c r="F116" s="2">
        <f>800-200</f>
        <v>600</v>
      </c>
      <c r="I116" t="s">
        <v>158</v>
      </c>
      <c r="J116" s="2">
        <f>800+4000+1100</f>
        <v>5900</v>
      </c>
    </row>
    <row r="117" spans="1:6">
      <c r="A117" t="s">
        <v>159</v>
      </c>
      <c r="C117" s="8">
        <f>6000-J116</f>
        <v>100</v>
      </c>
      <c r="D117" s="2">
        <f>C116-200-4000-1100</f>
        <v>100</v>
      </c>
      <c r="E117" s="2"/>
      <c r="F117" s="2"/>
    </row>
    <row r="118" spans="1:1">
      <c r="A118" t="s">
        <v>160</v>
      </c>
    </row>
    <row r="119" ht="15.15"/>
    <row r="120" ht="53.55" spans="2:16">
      <c r="B120" t="s">
        <v>161</v>
      </c>
      <c r="F120" s="96" t="s">
        <v>161</v>
      </c>
      <c r="G120" s="97" t="s">
        <v>162</v>
      </c>
      <c r="H120" s="97" t="s">
        <v>49</v>
      </c>
      <c r="I120" s="97" t="s">
        <v>163</v>
      </c>
      <c r="M120" s="96" t="s">
        <v>161</v>
      </c>
      <c r="N120" s="97" t="s">
        <v>162</v>
      </c>
      <c r="O120" s="97" t="s">
        <v>49</v>
      </c>
      <c r="P120" s="97" t="s">
        <v>163</v>
      </c>
    </row>
    <row r="121" ht="53.55" spans="2:17">
      <c r="B121" t="s">
        <v>162</v>
      </c>
      <c r="F121" s="98" t="s">
        <v>164</v>
      </c>
      <c r="G121" s="99" t="s">
        <v>165</v>
      </c>
      <c r="H121" s="100">
        <v>25000</v>
      </c>
      <c r="I121" s="99">
        <v>25000</v>
      </c>
      <c r="M121" s="98" t="s">
        <v>164</v>
      </c>
      <c r="N121" s="100" t="s">
        <v>165</v>
      </c>
      <c r="O121" s="100">
        <v>25000</v>
      </c>
      <c r="P121" s="100">
        <v>25000</v>
      </c>
      <c r="Q121">
        <f>SUM(N121:O121)</f>
        <v>25000</v>
      </c>
    </row>
    <row r="122" ht="27.15" spans="2:17">
      <c r="B122" t="s">
        <v>49</v>
      </c>
      <c r="F122" s="98" t="s">
        <v>166</v>
      </c>
      <c r="G122" s="99">
        <v>25000</v>
      </c>
      <c r="H122" s="100">
        <v>62000</v>
      </c>
      <c r="I122" s="99">
        <f>I121+H122</f>
        <v>87000</v>
      </c>
      <c r="M122" s="98" t="s">
        <v>166</v>
      </c>
      <c r="N122" s="100">
        <v>25000</v>
      </c>
      <c r="O122" s="100">
        <v>62000</v>
      </c>
      <c r="P122" s="100">
        <f>P121+O122</f>
        <v>87000</v>
      </c>
      <c r="Q122">
        <f>SUM(N122:O122)</f>
        <v>87000</v>
      </c>
    </row>
    <row r="123" ht="27.15" spans="2:17">
      <c r="B123" t="s">
        <v>163</v>
      </c>
      <c r="F123" s="98" t="s">
        <v>167</v>
      </c>
      <c r="G123" s="99">
        <v>87000</v>
      </c>
      <c r="H123" s="100">
        <v>145000</v>
      </c>
      <c r="I123" s="99">
        <f>I122+H123</f>
        <v>232000</v>
      </c>
      <c r="M123" s="98" t="s">
        <v>167</v>
      </c>
      <c r="N123" s="100">
        <v>87000</v>
      </c>
      <c r="O123" s="100">
        <v>145000</v>
      </c>
      <c r="P123" s="100">
        <f>P122+O123</f>
        <v>232000</v>
      </c>
      <c r="Q123">
        <f>SUM(N123:O123)</f>
        <v>232000</v>
      </c>
    </row>
    <row r="124" ht="27.15" spans="2:17">
      <c r="B124" t="s">
        <v>164</v>
      </c>
      <c r="F124" s="98" t="s">
        <v>168</v>
      </c>
      <c r="G124" s="99">
        <f>I123</f>
        <v>232000</v>
      </c>
      <c r="H124" s="100">
        <v>65000</v>
      </c>
      <c r="I124" s="106">
        <f>I123+H124</f>
        <v>297000</v>
      </c>
      <c r="M124" s="98" t="s">
        <v>168</v>
      </c>
      <c r="N124" s="100">
        <f>P123</f>
        <v>232000</v>
      </c>
      <c r="O124" s="100">
        <v>65000</v>
      </c>
      <c r="P124" s="107">
        <f>P123+O124</f>
        <v>297000</v>
      </c>
      <c r="Q124">
        <f>SUM(N124:O124)</f>
        <v>297000</v>
      </c>
    </row>
    <row r="125" ht="66.75" spans="2:16">
      <c r="B125" t="s">
        <v>166</v>
      </c>
      <c r="M125" s="96" t="s">
        <v>169</v>
      </c>
      <c r="N125" s="108" t="s">
        <v>165</v>
      </c>
      <c r="O125" s="39">
        <f>SUM(O121:O124)</f>
        <v>297000</v>
      </c>
      <c r="P125" s="4"/>
    </row>
    <row r="126" spans="2:2">
      <c r="B126" t="s">
        <v>167</v>
      </c>
    </row>
    <row r="127" spans="2:2">
      <c r="B127" t="s">
        <v>168</v>
      </c>
    </row>
    <row r="130" spans="1:1">
      <c r="A130" t="s">
        <v>170</v>
      </c>
    </row>
    <row r="131" spans="1:1">
      <c r="A131" t="s">
        <v>171</v>
      </c>
    </row>
    <row r="132" spans="1:1">
      <c r="A132" t="s">
        <v>172</v>
      </c>
    </row>
    <row r="133" ht="18.75" spans="3:18">
      <c r="C133" s="5" t="s">
        <v>134</v>
      </c>
      <c r="D133" s="5">
        <v>100</v>
      </c>
      <c r="E133">
        <f t="shared" ref="E133:E138" si="0">D133*5000</f>
        <v>500000</v>
      </c>
      <c r="J133" s="86" t="s">
        <v>51</v>
      </c>
      <c r="P133" s="22" t="s">
        <v>20</v>
      </c>
      <c r="Q133" s="22"/>
      <c r="R133" s="63" t="s">
        <v>21</v>
      </c>
    </row>
    <row r="134" spans="3:17">
      <c r="C134" s="48" t="s">
        <v>173</v>
      </c>
      <c r="D134" s="111">
        <v>87</v>
      </c>
      <c r="E134" s="2">
        <f t="shared" si="0"/>
        <v>435000</v>
      </c>
      <c r="G134">
        <f>E133*0.75</f>
        <v>375000</v>
      </c>
      <c r="H134" t="s">
        <v>174</v>
      </c>
      <c r="P134" s="64" t="s">
        <v>22</v>
      </c>
      <c r="Q134" s="84"/>
    </row>
    <row r="135" ht="15.15" spans="3:17">
      <c r="C135" s="72" t="s">
        <v>175</v>
      </c>
      <c r="D135" s="87">
        <v>10</v>
      </c>
      <c r="E135">
        <f t="shared" si="0"/>
        <v>50000</v>
      </c>
      <c r="G135">
        <f>G140-G138-G134</f>
        <v>75000</v>
      </c>
      <c r="H135" t="s">
        <v>176</v>
      </c>
      <c r="J135" t="s">
        <v>54</v>
      </c>
      <c r="P135" s="65" t="s">
        <v>24</v>
      </c>
      <c r="Q135" s="85"/>
    </row>
    <row r="136" spans="3:5">
      <c r="C136" s="72" t="s">
        <v>177</v>
      </c>
      <c r="D136" s="87">
        <v>6</v>
      </c>
      <c r="E136">
        <f t="shared" si="0"/>
        <v>30000</v>
      </c>
    </row>
    <row r="137" spans="3:10">
      <c r="C137" s="72" t="s">
        <v>178</v>
      </c>
      <c r="D137" s="87">
        <v>4</v>
      </c>
      <c r="E137">
        <f t="shared" si="0"/>
        <v>20000</v>
      </c>
      <c r="J137" t="s">
        <v>56</v>
      </c>
    </row>
    <row r="138" ht="15.15" spans="3:10">
      <c r="C138" s="112" t="s">
        <v>179</v>
      </c>
      <c r="D138" s="67">
        <v>7</v>
      </c>
      <c r="E138">
        <f t="shared" si="0"/>
        <v>35000</v>
      </c>
      <c r="G138">
        <f>E135</f>
        <v>50000</v>
      </c>
      <c r="H138" t="s">
        <v>180</v>
      </c>
      <c r="J138" t="s">
        <v>58</v>
      </c>
    </row>
    <row r="139" spans="10:10">
      <c r="J139" t="s">
        <v>61</v>
      </c>
    </row>
    <row r="140" spans="4:10">
      <c r="D140">
        <f>D134+D135+D136+D137-D138</f>
        <v>100</v>
      </c>
      <c r="E140" s="22">
        <f>D140*5000</f>
        <v>500000</v>
      </c>
      <c r="G140">
        <f>E140</f>
        <v>500000</v>
      </c>
      <c r="H140" t="s">
        <v>134</v>
      </c>
      <c r="I140" s="22">
        <f>SUM(G134:G138)</f>
        <v>500000</v>
      </c>
      <c r="J140" t="s">
        <v>64</v>
      </c>
    </row>
    <row r="141" spans="10:10">
      <c r="J141" t="s">
        <v>66</v>
      </c>
    </row>
    <row r="142" spans="10:10">
      <c r="J142" s="5" t="s">
        <v>68</v>
      </c>
    </row>
    <row r="143" spans="10:10">
      <c r="J143" t="s">
        <v>70</v>
      </c>
    </row>
    <row r="144" spans="10:10">
      <c r="J144" t="s">
        <v>72</v>
      </c>
    </row>
    <row r="145" spans="10:10">
      <c r="J145" t="s">
        <v>75</v>
      </c>
    </row>
    <row r="146" spans="10:10">
      <c r="J146" s="5" t="s">
        <v>78</v>
      </c>
    </row>
    <row r="151" spans="1:1">
      <c r="A151" t="s">
        <v>181</v>
      </c>
    </row>
    <row r="152" spans="1:8">
      <c r="A152" t="s">
        <v>182</v>
      </c>
      <c r="B152">
        <f>C153+G153</f>
        <v>45</v>
      </c>
      <c r="C152" t="s">
        <v>183</v>
      </c>
      <c r="D152" t="s">
        <v>173</v>
      </c>
      <c r="E152" t="s">
        <v>175</v>
      </c>
      <c r="F152" t="s">
        <v>7</v>
      </c>
      <c r="G152" t="s">
        <v>157</v>
      </c>
      <c r="H152" t="s">
        <v>174</v>
      </c>
    </row>
    <row r="153" spans="1:8">
      <c r="A153" t="s">
        <v>184</v>
      </c>
      <c r="B153">
        <f>D153+E153+F153+B152</f>
        <v>343</v>
      </c>
      <c r="C153">
        <v>40</v>
      </c>
      <c r="D153">
        <v>240</v>
      </c>
      <c r="E153">
        <v>50</v>
      </c>
      <c r="F153">
        <v>8</v>
      </c>
      <c r="G153">
        <v>5</v>
      </c>
      <c r="H153">
        <v>12</v>
      </c>
    </row>
    <row r="154" spans="1:2">
      <c r="A154" t="s">
        <v>185</v>
      </c>
      <c r="B154">
        <f>B153-G153</f>
        <v>338</v>
      </c>
    </row>
    <row r="155" spans="2:2">
      <c r="B155">
        <f>C153+D153+E153+F153</f>
        <v>338</v>
      </c>
    </row>
    <row r="158" ht="15.15" spans="2:2">
      <c r="B158" t="s">
        <v>186</v>
      </c>
    </row>
    <row r="159" spans="2:11">
      <c r="B159" t="s">
        <v>187</v>
      </c>
      <c r="D159" s="60">
        <f>H160--150</f>
        <v>2100</v>
      </c>
      <c r="E159" t="s">
        <v>114</v>
      </c>
      <c r="F159" t="s">
        <v>173</v>
      </c>
      <c r="G159" s="5" t="s">
        <v>175</v>
      </c>
      <c r="H159" t="s">
        <v>178</v>
      </c>
      <c r="I159" s="5" t="s">
        <v>157</v>
      </c>
      <c r="J159" s="5" t="s">
        <v>188</v>
      </c>
      <c r="K159" s="60" t="s">
        <v>189</v>
      </c>
    </row>
    <row r="160" ht="15.15" spans="2:11">
      <c r="B160" t="s">
        <v>190</v>
      </c>
      <c r="D160" s="61">
        <f>F160</f>
        <v>1602</v>
      </c>
      <c r="E160">
        <v>2240</v>
      </c>
      <c r="F160" s="5">
        <f>E160-G160-J160-K160</f>
        <v>1602</v>
      </c>
      <c r="G160" s="5">
        <v>540</v>
      </c>
      <c r="H160">
        <v>1950</v>
      </c>
      <c r="I160" s="5">
        <v>60</v>
      </c>
      <c r="J160" s="5">
        <v>248</v>
      </c>
      <c r="K160" s="62">
        <f>H160-D159</f>
        <v>-150</v>
      </c>
    </row>
    <row r="161" ht="15.15" spans="2:5">
      <c r="B161" t="s">
        <v>191</v>
      </c>
      <c r="D161" s="62">
        <f>E161-I160</f>
        <v>2180</v>
      </c>
      <c r="E161">
        <f>F160+J160+G160+K160</f>
        <v>2240</v>
      </c>
    </row>
    <row r="162" spans="4:4">
      <c r="D162">
        <f>F160+(J160-I160)+G160+K160</f>
        <v>2180</v>
      </c>
    </row>
    <row r="164" spans="3:4">
      <c r="C164" t="s">
        <v>179</v>
      </c>
      <c r="D164">
        <f>H160-K160</f>
        <v>2100</v>
      </c>
    </row>
    <row r="170" ht="15.15" spans="2:2">
      <c r="B170" t="s">
        <v>192</v>
      </c>
    </row>
    <row r="171" ht="15.15" spans="2:10">
      <c r="B171" t="s">
        <v>193</v>
      </c>
      <c r="D171" t="s">
        <v>174</v>
      </c>
      <c r="E171">
        <v>600</v>
      </c>
      <c r="G171" t="s">
        <v>188</v>
      </c>
      <c r="H171">
        <v>300</v>
      </c>
      <c r="I171" s="3" t="s">
        <v>157</v>
      </c>
      <c r="J171" s="4">
        <f>H171-H172</f>
        <v>50</v>
      </c>
    </row>
    <row r="172" spans="2:8">
      <c r="B172" t="s">
        <v>194</v>
      </c>
      <c r="D172" t="s">
        <v>176</v>
      </c>
      <c r="E172">
        <v>280</v>
      </c>
      <c r="G172" t="s">
        <v>183</v>
      </c>
      <c r="H172">
        <v>250</v>
      </c>
    </row>
    <row r="173" spans="2:8">
      <c r="B173" t="s">
        <v>195</v>
      </c>
      <c r="D173" t="s">
        <v>196</v>
      </c>
      <c r="E173">
        <v>50</v>
      </c>
      <c r="G173" t="s">
        <v>173</v>
      </c>
      <c r="H173">
        <v>550</v>
      </c>
    </row>
    <row r="174" spans="2:5">
      <c r="B174" t="s">
        <v>197</v>
      </c>
      <c r="D174" t="s">
        <v>198</v>
      </c>
      <c r="E174">
        <v>20</v>
      </c>
    </row>
    <row r="175" spans="4:5">
      <c r="D175" t="s">
        <v>199</v>
      </c>
      <c r="E175">
        <v>115</v>
      </c>
    </row>
    <row r="176" ht="15.15" spans="4:5">
      <c r="D176" t="s">
        <v>200</v>
      </c>
      <c r="E176">
        <v>120</v>
      </c>
    </row>
    <row r="177" ht="15.15" spans="4:5">
      <c r="D177" s="3" t="s">
        <v>103</v>
      </c>
      <c r="E177" s="113">
        <f>SUM(E171:E175)</f>
        <v>1065</v>
      </c>
    </row>
    <row r="178" ht="15.15" spans="4:5">
      <c r="D178" s="114" t="s">
        <v>114</v>
      </c>
      <c r="E178" s="113">
        <f>E177+E176+J171</f>
        <v>1235</v>
      </c>
    </row>
    <row r="179" spans="3:4">
      <c r="C179" s="64" t="s">
        <v>22</v>
      </c>
      <c r="D179" s="5" t="s">
        <v>201</v>
      </c>
    </row>
    <row r="180" ht="15.15" spans="3:3">
      <c r="C180" s="65" t="s">
        <v>24</v>
      </c>
    </row>
    <row r="182" ht="15.15" spans="2:2">
      <c r="B182" t="s">
        <v>202</v>
      </c>
    </row>
    <row r="183" spans="2:7">
      <c r="B183" t="s">
        <v>203</v>
      </c>
      <c r="D183" s="60" t="s">
        <v>204</v>
      </c>
      <c r="E183" s="26">
        <v>2</v>
      </c>
      <c r="F183" s="27"/>
      <c r="G183" s="60" t="s">
        <v>148</v>
      </c>
    </row>
    <row r="184" spans="2:7">
      <c r="B184" t="s">
        <v>205</v>
      </c>
      <c r="D184" s="61">
        <f>(H193-E193)/E193</f>
        <v>0.060536398467433</v>
      </c>
      <c r="E184" s="51">
        <f>H193/E193</f>
        <v>1.06053639846743</v>
      </c>
      <c r="F184" s="52">
        <f>E184-1</f>
        <v>0.060536398467433</v>
      </c>
      <c r="G184" s="61">
        <f>F184*100</f>
        <v>6.0536398467433</v>
      </c>
    </row>
    <row r="185" ht="15.15" spans="2:7">
      <c r="B185" t="s">
        <v>206</v>
      </c>
      <c r="D185" s="62">
        <f>(K193-E193)/E193</f>
        <v>0.0298850574712644</v>
      </c>
      <c r="E185" s="28">
        <f>K193/E193</f>
        <v>1.02988505747126</v>
      </c>
      <c r="F185" s="29">
        <f>E185-1</f>
        <v>0.0298850574712644</v>
      </c>
      <c r="G185" s="62">
        <f>F185*100</f>
        <v>2.98850574712644</v>
      </c>
    </row>
    <row r="186" spans="2:2">
      <c r="B186" t="s">
        <v>207</v>
      </c>
    </row>
    <row r="189" spans="3:6">
      <c r="C189" t="s">
        <v>204</v>
      </c>
      <c r="F189" t="s">
        <v>208</v>
      </c>
    </row>
    <row r="190" spans="3:11">
      <c r="C190" t="s">
        <v>209</v>
      </c>
      <c r="D190" t="s">
        <v>210</v>
      </c>
      <c r="E190" s="30" t="s">
        <v>211</v>
      </c>
      <c r="F190" t="s">
        <v>209</v>
      </c>
      <c r="G190" t="s">
        <v>210</v>
      </c>
      <c r="H190" s="30" t="s">
        <v>212</v>
      </c>
      <c r="I190" t="s">
        <v>209</v>
      </c>
      <c r="J190" t="s">
        <v>210</v>
      </c>
      <c r="K190" t="s">
        <v>213</v>
      </c>
    </row>
    <row r="191" spans="2:10">
      <c r="B191" t="s">
        <v>214</v>
      </c>
      <c r="C191">
        <v>320</v>
      </c>
      <c r="D191">
        <v>190</v>
      </c>
      <c r="E191" s="30"/>
      <c r="F191">
        <v>308</v>
      </c>
      <c r="G191">
        <v>208</v>
      </c>
      <c r="H191" s="30"/>
      <c r="I191">
        <v>308</v>
      </c>
      <c r="J191">
        <v>208</v>
      </c>
    </row>
    <row r="192" spans="2:10">
      <c r="B192" t="s">
        <v>215</v>
      </c>
      <c r="C192">
        <v>2</v>
      </c>
      <c r="D192">
        <v>3.5</v>
      </c>
      <c r="E192" s="30"/>
      <c r="F192">
        <f>C192+(0.2*2)</f>
        <v>2.4</v>
      </c>
      <c r="G192">
        <v>3.1</v>
      </c>
      <c r="H192" s="30"/>
      <c r="I192">
        <v>2</v>
      </c>
      <c r="J192">
        <v>3.5</v>
      </c>
    </row>
    <row r="193" spans="2:11">
      <c r="B193" t="s">
        <v>114</v>
      </c>
      <c r="C193">
        <f>C191*C192</f>
        <v>640</v>
      </c>
      <c r="D193">
        <f>D191*D192</f>
        <v>665</v>
      </c>
      <c r="E193" s="30">
        <f>SUM(C193:D193)</f>
        <v>1305</v>
      </c>
      <c r="F193">
        <f>F191*F192</f>
        <v>739.2</v>
      </c>
      <c r="G193">
        <f>G191*G192</f>
        <v>644.8</v>
      </c>
      <c r="H193" s="30">
        <f>SUM(F193:G193)</f>
        <v>1384</v>
      </c>
      <c r="I193">
        <f>I191*I192</f>
        <v>616</v>
      </c>
      <c r="J193">
        <f>J191*J192</f>
        <v>728</v>
      </c>
      <c r="K193">
        <f>SUM(I193:J193)</f>
        <v>1344</v>
      </c>
    </row>
    <row r="201" spans="3:3">
      <c r="C201" s="115"/>
    </row>
    <row r="202" spans="3:3">
      <c r="C202" s="115"/>
    </row>
    <row r="203" spans="3:3">
      <c r="C203" s="115"/>
    </row>
    <row r="204" spans="3:3">
      <c r="C204" s="115"/>
    </row>
    <row r="205" spans="3:3">
      <c r="C205" s="115"/>
    </row>
    <row r="206" spans="3:3">
      <c r="C206" s="115"/>
    </row>
    <row r="207" spans="3:3">
      <c r="C207" s="115"/>
    </row>
    <row r="208" spans="3:3">
      <c r="C208" s="115"/>
    </row>
    <row r="209" spans="3:3">
      <c r="C209" s="115"/>
    </row>
    <row r="210" spans="3:3">
      <c r="C210" s="115"/>
    </row>
    <row r="211" spans="3:3">
      <c r="C211" s="115"/>
    </row>
    <row r="212" spans="3:3">
      <c r="C212" s="115"/>
    </row>
    <row r="223" spans="4:4">
      <c r="D223">
        <f>300-240-10-D216</f>
        <v>50</v>
      </c>
    </row>
  </sheetData>
  <pageMargins left="0.7" right="0.7" top="0.787401575" bottom="0.787401575" header="0.3" footer="0.3"/>
  <pageSetup paperSize="9" orientation="portrait"/>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Z142"/>
  <sheetViews>
    <sheetView zoomScale="70" zoomScaleNormal="70" workbookViewId="0">
      <selection activeCell="BU88" sqref="BU88"/>
    </sheetView>
  </sheetViews>
  <sheetFormatPr defaultColWidth="9" defaultRowHeight="14.4"/>
  <cols>
    <col min="8" max="8" width="13.712962962963" customWidth="1"/>
    <col min="9" max="9" width="24" customWidth="1"/>
    <col min="10" max="10" width="13.287037037037" customWidth="1"/>
    <col min="11" max="11" width="13.1388888888889" customWidth="1"/>
    <col min="12" max="12" width="10.287037037037" customWidth="1"/>
    <col min="14" max="14" width="10.8518518518519" customWidth="1"/>
    <col min="18" max="18" width="8.71296296296296" customWidth="1"/>
    <col min="19" max="19" width="10.712962962963" customWidth="1"/>
    <col min="57" max="57" width="14" customWidth="1"/>
    <col min="58" max="58" width="14.5740740740741" customWidth="1"/>
    <col min="76" max="76" width="14.712962962963" customWidth="1"/>
    <col min="77" max="77" width="11.8518518518519" customWidth="1"/>
  </cols>
  <sheetData>
    <row r="1" spans="2:2">
      <c r="B1" t="s">
        <v>216</v>
      </c>
    </row>
    <row r="3" spans="2:2">
      <c r="B3" t="s">
        <v>217</v>
      </c>
    </row>
    <row r="4" spans="2:59">
      <c r="B4" s="1" t="s">
        <v>218</v>
      </c>
      <c r="C4" s="1"/>
      <c r="D4">
        <f>1-0.91</f>
        <v>0.09</v>
      </c>
      <c r="E4" s="2">
        <f>1/(1-0.91)</f>
        <v>11.1111111111111</v>
      </c>
      <c r="G4" t="s">
        <v>219</v>
      </c>
      <c r="H4">
        <f>1-0.91</f>
        <v>0.09</v>
      </c>
      <c r="P4" t="s">
        <v>220</v>
      </c>
      <c r="Q4" t="s">
        <v>221</v>
      </c>
      <c r="AV4" s="2" t="s">
        <v>222</v>
      </c>
      <c r="AW4" s="2"/>
      <c r="AX4" s="2"/>
      <c r="AY4" s="2"/>
      <c r="AZ4" s="2"/>
      <c r="BA4" s="2"/>
      <c r="BB4" s="2"/>
      <c r="BC4" s="2"/>
      <c r="BD4" s="2"/>
      <c r="BE4" s="2"/>
      <c r="BF4" s="2"/>
      <c r="BG4" s="2"/>
    </row>
    <row r="5" spans="2:59">
      <c r="B5" t="s">
        <v>223</v>
      </c>
      <c r="D5">
        <f>1-0.07</f>
        <v>0.93</v>
      </c>
      <c r="E5" s="2">
        <f>1/0.07</f>
        <v>14.2857142857143</v>
      </c>
      <c r="G5" t="s">
        <v>224</v>
      </c>
      <c r="H5" s="1">
        <f>1-0.07</f>
        <v>0.93</v>
      </c>
      <c r="I5" s="5" t="s">
        <v>225</v>
      </c>
      <c r="J5" s="5" t="s">
        <v>226</v>
      </c>
      <c r="K5" s="5"/>
      <c r="AV5" s="2" t="s">
        <v>227</v>
      </c>
      <c r="AW5" s="2"/>
      <c r="AX5" s="2"/>
      <c r="AY5" s="2"/>
      <c r="AZ5" s="2"/>
      <c r="BA5" s="2"/>
      <c r="BB5" s="2"/>
      <c r="BC5" s="2"/>
      <c r="BD5" s="2"/>
      <c r="BE5" s="2"/>
      <c r="BF5" s="2"/>
      <c r="BG5" s="2"/>
    </row>
    <row r="6" spans="17:59">
      <c r="Q6" t="s">
        <v>228</v>
      </c>
      <c r="AV6" s="2" t="s">
        <v>229</v>
      </c>
      <c r="AW6" s="2"/>
      <c r="AX6" s="2"/>
      <c r="AY6" s="2"/>
      <c r="AZ6" s="2"/>
      <c r="BA6" s="2"/>
      <c r="BB6" s="2"/>
      <c r="BC6" s="2"/>
      <c r="BD6" s="2"/>
      <c r="BE6" s="2"/>
      <c r="BF6" s="2"/>
      <c r="BG6" s="2"/>
    </row>
    <row r="7" spans="48:59">
      <c r="AV7" s="2" t="s">
        <v>230</v>
      </c>
      <c r="AW7" s="2"/>
      <c r="AX7" s="2"/>
      <c r="AY7" s="2"/>
      <c r="AZ7" s="2"/>
      <c r="BA7" s="2"/>
      <c r="BB7" s="2"/>
      <c r="BC7" s="2"/>
      <c r="BD7" s="2"/>
      <c r="BE7" s="2"/>
      <c r="BF7" s="2"/>
      <c r="BG7" s="2"/>
    </row>
    <row r="8" spans="48:59">
      <c r="AV8" s="2" t="s">
        <v>231</v>
      </c>
      <c r="AW8" s="2"/>
      <c r="AX8" s="2"/>
      <c r="AY8" s="2"/>
      <c r="AZ8" s="2"/>
      <c r="BA8" s="2"/>
      <c r="BB8" s="2"/>
      <c r="BC8" s="2"/>
      <c r="BD8" s="2"/>
      <c r="BE8" s="2"/>
      <c r="BF8" s="2"/>
      <c r="BG8" s="2"/>
    </row>
    <row r="9" spans="2:59">
      <c r="B9" t="s">
        <v>232</v>
      </c>
      <c r="AV9" s="2" t="s">
        <v>233</v>
      </c>
      <c r="AW9" s="2"/>
      <c r="AX9" s="2"/>
      <c r="AY9" s="2"/>
      <c r="AZ9" s="2"/>
      <c r="BA9" s="2"/>
      <c r="BB9" s="2"/>
      <c r="BC9" s="2"/>
      <c r="BD9" s="2"/>
      <c r="BE9" s="2"/>
      <c r="BF9" s="2"/>
      <c r="BG9" s="2"/>
    </row>
    <row r="10" ht="15.15" spans="7:59">
      <c r="G10" t="s">
        <v>221</v>
      </c>
      <c r="J10" s="2" t="s">
        <v>234</v>
      </c>
      <c r="K10" s="8" t="s">
        <v>235</v>
      </c>
      <c r="L10" s="2" t="s">
        <v>236</v>
      </c>
      <c r="M10" s="2"/>
      <c r="N10" s="2"/>
      <c r="O10" s="2"/>
      <c r="P10" s="2"/>
      <c r="Q10" s="2"/>
      <c r="R10" s="2"/>
      <c r="S10" s="2"/>
      <c r="T10" s="2"/>
      <c r="AV10" s="2" t="s">
        <v>237</v>
      </c>
      <c r="AW10" s="2"/>
      <c r="AX10" s="2"/>
      <c r="AY10" s="2"/>
      <c r="AZ10" s="2"/>
      <c r="BA10" s="2"/>
      <c r="BB10" s="2"/>
      <c r="BC10" s="2"/>
      <c r="BD10" s="2"/>
      <c r="BE10" s="2"/>
      <c r="BF10" s="2"/>
      <c r="BG10" s="2"/>
    </row>
    <row r="11" ht="15.15" spans="10:59">
      <c r="J11" s="8" t="s">
        <v>238</v>
      </c>
      <c r="K11" s="2"/>
      <c r="L11" s="6">
        <f>1-0.8</f>
        <v>0.2</v>
      </c>
      <c r="M11" s="9" t="s">
        <v>239</v>
      </c>
      <c r="N11" s="10">
        <v>20</v>
      </c>
      <c r="O11" s="2"/>
      <c r="P11" s="6" t="s">
        <v>239</v>
      </c>
      <c r="Q11" s="10">
        <f>20/L11</f>
        <v>100</v>
      </c>
      <c r="R11" s="2"/>
      <c r="S11" s="8" t="s">
        <v>240</v>
      </c>
      <c r="T11" s="8">
        <f>0.8*Q11</f>
        <v>80</v>
      </c>
      <c r="AV11" s="2" t="s">
        <v>241</v>
      </c>
      <c r="AW11" s="2"/>
      <c r="AX11" s="2"/>
      <c r="AY11" s="2"/>
      <c r="AZ11" s="2"/>
      <c r="BA11" s="2"/>
      <c r="BB11" s="2"/>
      <c r="BC11" s="2"/>
      <c r="BD11" s="2"/>
      <c r="BE11" s="2"/>
      <c r="BF11" s="2"/>
      <c r="BG11" s="2"/>
    </row>
    <row r="12" ht="15.15" spans="2:59">
      <c r="B12" t="s">
        <v>242</v>
      </c>
      <c r="S12" s="5"/>
      <c r="T12" s="5"/>
      <c r="AV12" s="2" t="s">
        <v>243</v>
      </c>
      <c r="AW12" s="2"/>
      <c r="AX12" s="2"/>
      <c r="AY12" s="2"/>
      <c r="AZ12" s="2"/>
      <c r="BA12" s="2"/>
      <c r="BB12" s="2"/>
      <c r="BC12" s="2"/>
      <c r="BD12" s="2"/>
      <c r="BE12" s="2"/>
      <c r="BF12" s="2"/>
      <c r="BG12" s="2"/>
    </row>
    <row r="13" ht="15.15" spans="5:59">
      <c r="E13" s="3" t="s">
        <v>244</v>
      </c>
      <c r="F13" s="4">
        <f>1/(1-0.8)</f>
        <v>5</v>
      </c>
      <c r="J13" s="2" t="s">
        <v>234</v>
      </c>
      <c r="K13" s="2" t="s">
        <v>235</v>
      </c>
      <c r="L13" s="2" t="s">
        <v>245</v>
      </c>
      <c r="M13" s="2"/>
      <c r="N13" s="2"/>
      <c r="O13" s="2"/>
      <c r="P13" s="2"/>
      <c r="Q13" s="2"/>
      <c r="R13" s="2"/>
      <c r="S13" s="8"/>
      <c r="T13" s="8"/>
      <c r="AV13" s="2" t="s">
        <v>246</v>
      </c>
      <c r="AW13" s="2"/>
      <c r="AX13" s="2"/>
      <c r="AY13" s="2"/>
      <c r="AZ13" s="2"/>
      <c r="BA13" s="2"/>
      <c r="BB13" s="2"/>
      <c r="BC13" s="2"/>
      <c r="BD13" s="2"/>
      <c r="BE13" s="2"/>
      <c r="BF13" s="2"/>
      <c r="BG13" s="2"/>
    </row>
    <row r="14" ht="15.15" spans="10:59">
      <c r="J14" s="2" t="s">
        <v>247</v>
      </c>
      <c r="K14" s="2"/>
      <c r="L14" s="6">
        <f>1-0.8</f>
        <v>0.2</v>
      </c>
      <c r="M14" s="9" t="s">
        <v>239</v>
      </c>
      <c r="N14" s="10">
        <v>22</v>
      </c>
      <c r="O14" s="2"/>
      <c r="P14" s="6" t="s">
        <v>239</v>
      </c>
      <c r="Q14" s="10">
        <f>22/L14</f>
        <v>110</v>
      </c>
      <c r="R14" s="2"/>
      <c r="S14" s="8" t="s">
        <v>240</v>
      </c>
      <c r="T14" s="8">
        <f>0.8*Q14</f>
        <v>88</v>
      </c>
      <c r="U14" t="s">
        <v>248</v>
      </c>
      <c r="V14">
        <f>Q14-T14</f>
        <v>22</v>
      </c>
      <c r="AV14" s="2" t="s">
        <v>249</v>
      </c>
      <c r="AW14" s="2"/>
      <c r="AX14" s="2"/>
      <c r="AY14" s="2"/>
      <c r="AZ14" s="2"/>
      <c r="BA14" s="2"/>
      <c r="BB14" s="2"/>
      <c r="BC14" s="2"/>
      <c r="BD14" s="2"/>
      <c r="BE14" s="2"/>
      <c r="BF14" s="2"/>
      <c r="BG14" s="2"/>
    </row>
    <row r="15" spans="2:59">
      <c r="B15" t="s">
        <v>250</v>
      </c>
      <c r="S15" s="5"/>
      <c r="T15" s="5"/>
      <c r="AV15" s="2" t="s">
        <v>251</v>
      </c>
      <c r="AW15" s="2"/>
      <c r="AX15" s="2"/>
      <c r="AY15" s="2"/>
      <c r="AZ15" s="2"/>
      <c r="BA15" s="2"/>
      <c r="BB15" s="2"/>
      <c r="BC15" s="2"/>
      <c r="BD15" s="2"/>
      <c r="BE15" s="2"/>
      <c r="BF15" s="2"/>
      <c r="BG15" s="2"/>
    </row>
    <row r="16" ht="15.15" spans="9:20">
      <c r="I16" s="2"/>
      <c r="J16" s="2" t="s">
        <v>234</v>
      </c>
      <c r="K16" s="2" t="s">
        <v>252</v>
      </c>
      <c r="L16" s="2" t="s">
        <v>236</v>
      </c>
      <c r="M16" s="2"/>
      <c r="N16" s="2"/>
      <c r="O16" s="2"/>
      <c r="P16" s="2"/>
      <c r="Q16" s="2"/>
      <c r="R16" s="2"/>
      <c r="S16" s="8"/>
      <c r="T16" s="8"/>
    </row>
    <row r="17" ht="15.15" spans="5:22">
      <c r="E17" s="3" t="s">
        <v>244</v>
      </c>
      <c r="F17" s="4">
        <f>1/(1-0.85)</f>
        <v>6.66666666666667</v>
      </c>
      <c r="I17" s="2"/>
      <c r="J17" s="2" t="s">
        <v>253</v>
      </c>
      <c r="K17" s="2"/>
      <c r="L17" s="2">
        <f>1-0.85</f>
        <v>0.15</v>
      </c>
      <c r="M17" s="2" t="s">
        <v>239</v>
      </c>
      <c r="N17" s="2">
        <v>20</v>
      </c>
      <c r="O17" s="2"/>
      <c r="P17" s="2" t="s">
        <v>239</v>
      </c>
      <c r="Q17" s="2">
        <f>20/L17</f>
        <v>133.333333333333</v>
      </c>
      <c r="R17" s="2"/>
      <c r="S17" s="8" t="s">
        <v>240</v>
      </c>
      <c r="T17" s="8">
        <f>0.85*Q17</f>
        <v>113.333333333333</v>
      </c>
      <c r="U17" t="s">
        <v>248</v>
      </c>
      <c r="V17">
        <f>Q17-T17</f>
        <v>20</v>
      </c>
    </row>
    <row r="18" spans="52:55">
      <c r="AZ18" t="s">
        <v>254</v>
      </c>
      <c r="BA18" t="s">
        <v>255</v>
      </c>
      <c r="BB18" t="s">
        <v>256</v>
      </c>
      <c r="BC18" t="s">
        <v>257</v>
      </c>
    </row>
    <row r="19" spans="2:48">
      <c r="B19" t="s">
        <v>258</v>
      </c>
      <c r="AV19" t="s">
        <v>259</v>
      </c>
    </row>
    <row r="20" spans="2:48">
      <c r="B20" t="s">
        <v>260</v>
      </c>
      <c r="AV20" t="s">
        <v>261</v>
      </c>
    </row>
    <row r="21" ht="15.15" spans="2:48">
      <c r="B21" t="s">
        <v>262</v>
      </c>
      <c r="AV21" t="s">
        <v>263</v>
      </c>
    </row>
    <row r="22" spans="2:48">
      <c r="B22" t="s">
        <v>264</v>
      </c>
      <c r="F22" s="2"/>
      <c r="G22" s="2"/>
      <c r="H22" s="2"/>
      <c r="I22" s="11" t="s">
        <v>112</v>
      </c>
      <c r="J22" s="12" t="s">
        <v>244</v>
      </c>
      <c r="K22" s="13">
        <f>1/(1-0.75)</f>
        <v>4</v>
      </c>
      <c r="L22" s="2"/>
      <c r="AV22" s="5" t="s">
        <v>265</v>
      </c>
    </row>
    <row r="23" ht="15.15" spans="6:48">
      <c r="F23" s="2"/>
      <c r="G23" s="2" t="s">
        <v>266</v>
      </c>
      <c r="H23" s="2"/>
      <c r="I23" s="14" t="s">
        <v>121</v>
      </c>
      <c r="J23" s="15" t="s">
        <v>267</v>
      </c>
      <c r="K23" s="16">
        <v>4</v>
      </c>
      <c r="L23" s="2"/>
      <c r="AV23" t="s">
        <v>268</v>
      </c>
    </row>
    <row r="24" ht="15.15" spans="6:48">
      <c r="F24" s="2" t="s">
        <v>234</v>
      </c>
      <c r="G24" s="2"/>
      <c r="H24" s="2"/>
      <c r="I24" s="2"/>
      <c r="J24" s="2" t="s">
        <v>267</v>
      </c>
      <c r="K24" s="2"/>
      <c r="L24" s="2"/>
      <c r="AV24" t="s">
        <v>269</v>
      </c>
    </row>
    <row r="25" spans="3:48">
      <c r="C25" t="s">
        <v>266</v>
      </c>
      <c r="F25" s="2" t="s">
        <v>112</v>
      </c>
      <c r="G25" s="2">
        <f>(1-0.75)</f>
        <v>0.25</v>
      </c>
      <c r="H25" s="2" t="s">
        <v>239</v>
      </c>
      <c r="I25" s="2">
        <v>5</v>
      </c>
      <c r="J25" s="11">
        <f>I25/G25</f>
        <v>20</v>
      </c>
      <c r="K25" s="13" t="s">
        <v>270</v>
      </c>
      <c r="L25" s="2"/>
      <c r="AV25" t="s">
        <v>271</v>
      </c>
    </row>
    <row r="26" ht="15.15" spans="6:48">
      <c r="F26" s="2" t="s">
        <v>121</v>
      </c>
      <c r="G26" s="2">
        <f>(1-0.75)</f>
        <v>0.25</v>
      </c>
      <c r="H26" s="2" t="s">
        <v>239</v>
      </c>
      <c r="I26" s="2">
        <v>6</v>
      </c>
      <c r="J26" s="14">
        <f>I26/G26</f>
        <v>24</v>
      </c>
      <c r="K26" s="16" t="s">
        <v>270</v>
      </c>
      <c r="L26" s="2"/>
      <c r="N26" t="s">
        <v>239</v>
      </c>
      <c r="O26" t="s">
        <v>272</v>
      </c>
      <c r="P26" t="s">
        <v>272</v>
      </c>
      <c r="AV26" t="s">
        <v>273</v>
      </c>
    </row>
    <row r="27" spans="2:54">
      <c r="B27" t="s">
        <v>274</v>
      </c>
      <c r="N27">
        <v>0</v>
      </c>
      <c r="O27">
        <v>0</v>
      </c>
      <c r="P27">
        <f>30+(0.8*N27)</f>
        <v>30</v>
      </c>
      <c r="AA27" t="s">
        <v>239</v>
      </c>
      <c r="AB27" t="s">
        <v>275</v>
      </c>
      <c r="AC27" t="s">
        <v>276</v>
      </c>
      <c r="AD27" t="s">
        <v>277</v>
      </c>
      <c r="AV27" t="s">
        <v>278</v>
      </c>
      <c r="BA27" t="s">
        <v>270</v>
      </c>
      <c r="BB27" t="s">
        <v>272</v>
      </c>
    </row>
    <row r="28" spans="2:54">
      <c r="B28" t="s">
        <v>279</v>
      </c>
      <c r="N28">
        <v>10</v>
      </c>
      <c r="O28">
        <v>10</v>
      </c>
      <c r="P28">
        <f t="shared" ref="P28:P36" si="0">30+(0.8*N28)</f>
        <v>38</v>
      </c>
      <c r="AA28">
        <v>0</v>
      </c>
      <c r="AB28">
        <v>0</v>
      </c>
      <c r="AC28">
        <f>30+(0.8*AA28)</f>
        <v>30</v>
      </c>
      <c r="AD28">
        <f>26+(0.8*AB28)</f>
        <v>26</v>
      </c>
      <c r="AV28" t="s">
        <v>280</v>
      </c>
      <c r="BA28">
        <f>1-0.75+0.15</f>
        <v>0.4</v>
      </c>
      <c r="BB28">
        <f>1200+600+800+400</f>
        <v>3000</v>
      </c>
    </row>
    <row r="29" spans="2:54">
      <c r="B29" t="s">
        <v>281</v>
      </c>
      <c r="N29">
        <v>20</v>
      </c>
      <c r="O29">
        <v>20</v>
      </c>
      <c r="P29">
        <f t="shared" si="0"/>
        <v>46</v>
      </c>
      <c r="AA29">
        <v>10</v>
      </c>
      <c r="AB29">
        <v>10</v>
      </c>
      <c r="AC29">
        <f t="shared" ref="AC29:AC39" si="1">30+(0.8*AA29)</f>
        <v>38</v>
      </c>
      <c r="AD29">
        <f t="shared" ref="AD29:AD39" si="2">26+(0.8*AB29)</f>
        <v>34</v>
      </c>
      <c r="AV29" t="s">
        <v>282</v>
      </c>
      <c r="BA29" t="s">
        <v>270</v>
      </c>
      <c r="BB29">
        <f>3000/0.4</f>
        <v>7500</v>
      </c>
    </row>
    <row r="30" spans="2:48">
      <c r="B30" s="5" t="s">
        <v>283</v>
      </c>
      <c r="C30" s="5"/>
      <c r="D30" s="5"/>
      <c r="E30" s="5"/>
      <c r="F30" s="5"/>
      <c r="G30" s="5"/>
      <c r="H30" s="5"/>
      <c r="N30">
        <v>30</v>
      </c>
      <c r="O30">
        <v>30</v>
      </c>
      <c r="P30">
        <f t="shared" si="0"/>
        <v>54</v>
      </c>
      <c r="AA30">
        <v>20</v>
      </c>
      <c r="AB30">
        <v>20</v>
      </c>
      <c r="AC30">
        <f t="shared" si="1"/>
        <v>46</v>
      </c>
      <c r="AD30">
        <f t="shared" si="2"/>
        <v>42</v>
      </c>
      <c r="AV30" t="s">
        <v>284</v>
      </c>
    </row>
    <row r="31" spans="2:48">
      <c r="B31" t="s">
        <v>285</v>
      </c>
      <c r="N31">
        <v>40</v>
      </c>
      <c r="O31">
        <v>40</v>
      </c>
      <c r="P31">
        <f t="shared" si="0"/>
        <v>62</v>
      </c>
      <c r="AA31">
        <v>30</v>
      </c>
      <c r="AB31">
        <v>30</v>
      </c>
      <c r="AC31">
        <f t="shared" si="1"/>
        <v>54</v>
      </c>
      <c r="AD31">
        <f t="shared" si="2"/>
        <v>50</v>
      </c>
      <c r="AV31" t="s">
        <v>286</v>
      </c>
    </row>
    <row r="32" spans="4:48">
      <c r="D32" t="s">
        <v>287</v>
      </c>
      <c r="N32">
        <v>50</v>
      </c>
      <c r="O32">
        <v>50</v>
      </c>
      <c r="P32">
        <f t="shared" si="0"/>
        <v>70</v>
      </c>
      <c r="AA32">
        <v>40</v>
      </c>
      <c r="AB32">
        <v>40</v>
      </c>
      <c r="AC32">
        <f t="shared" si="1"/>
        <v>62</v>
      </c>
      <c r="AD32">
        <f t="shared" si="2"/>
        <v>58</v>
      </c>
      <c r="AV32" t="s">
        <v>288</v>
      </c>
    </row>
    <row r="33" spans="4:30">
      <c r="D33" t="s">
        <v>289</v>
      </c>
      <c r="F33" t="s">
        <v>236</v>
      </c>
      <c r="N33">
        <v>60</v>
      </c>
      <c r="O33">
        <v>60</v>
      </c>
      <c r="P33">
        <f t="shared" si="0"/>
        <v>78</v>
      </c>
      <c r="AA33">
        <v>50</v>
      </c>
      <c r="AB33">
        <v>50</v>
      </c>
      <c r="AC33">
        <f t="shared" si="1"/>
        <v>70</v>
      </c>
      <c r="AD33">
        <f t="shared" si="2"/>
        <v>66</v>
      </c>
    </row>
    <row r="34" ht="15.15" spans="4:48">
      <c r="D34" t="s">
        <v>234</v>
      </c>
      <c r="N34">
        <v>100</v>
      </c>
      <c r="O34">
        <v>100</v>
      </c>
      <c r="P34">
        <f t="shared" si="0"/>
        <v>110</v>
      </c>
      <c r="AA34">
        <v>60</v>
      </c>
      <c r="AB34">
        <v>60</v>
      </c>
      <c r="AC34">
        <f t="shared" si="1"/>
        <v>78</v>
      </c>
      <c r="AD34">
        <f t="shared" si="2"/>
        <v>74</v>
      </c>
      <c r="AV34" t="s">
        <v>290</v>
      </c>
    </row>
    <row r="35" ht="15.15" spans="4:30">
      <c r="D35" s="2" t="s">
        <v>291</v>
      </c>
      <c r="E35" s="2"/>
      <c r="F35" s="2"/>
      <c r="G35" s="2"/>
      <c r="H35" s="6" t="s">
        <v>292</v>
      </c>
      <c r="I35" s="10">
        <v>30</v>
      </c>
      <c r="J35" s="2"/>
      <c r="K35" s="6" t="s">
        <v>239</v>
      </c>
      <c r="L35" s="10">
        <f>30/0.2</f>
        <v>150</v>
      </c>
      <c r="N35">
        <v>200</v>
      </c>
      <c r="O35">
        <v>200</v>
      </c>
      <c r="P35">
        <f t="shared" si="0"/>
        <v>190</v>
      </c>
      <c r="AA35">
        <v>100</v>
      </c>
      <c r="AB35">
        <v>100</v>
      </c>
      <c r="AC35">
        <f t="shared" si="1"/>
        <v>110</v>
      </c>
      <c r="AD35">
        <f t="shared" si="2"/>
        <v>106</v>
      </c>
    </row>
    <row r="36" spans="14:30">
      <c r="N36">
        <v>300</v>
      </c>
      <c r="O36">
        <v>300</v>
      </c>
      <c r="P36">
        <f t="shared" si="0"/>
        <v>270</v>
      </c>
      <c r="AA36">
        <v>200</v>
      </c>
      <c r="AB36">
        <v>200</v>
      </c>
      <c r="AC36">
        <f t="shared" si="1"/>
        <v>190</v>
      </c>
      <c r="AD36">
        <f t="shared" si="2"/>
        <v>186</v>
      </c>
    </row>
    <row r="37" spans="6:30">
      <c r="F37" s="2" t="s">
        <v>293</v>
      </c>
      <c r="AA37">
        <v>300</v>
      </c>
      <c r="AB37">
        <v>300</v>
      </c>
      <c r="AC37">
        <f t="shared" si="1"/>
        <v>270</v>
      </c>
      <c r="AD37">
        <f t="shared" si="2"/>
        <v>266</v>
      </c>
    </row>
    <row r="38" ht="18.75" spans="4:62">
      <c r="D38" t="s">
        <v>294</v>
      </c>
      <c r="F38" s="7" t="s">
        <v>295</v>
      </c>
      <c r="I38" t="s">
        <v>296</v>
      </c>
      <c r="J38">
        <f>1/(1-0.8)</f>
        <v>5</v>
      </c>
      <c r="AA38">
        <v>130</v>
      </c>
      <c r="AB38">
        <v>130</v>
      </c>
      <c r="AC38">
        <f t="shared" si="1"/>
        <v>134</v>
      </c>
      <c r="AD38">
        <f t="shared" si="2"/>
        <v>130</v>
      </c>
      <c r="BJ38" t="s">
        <v>297</v>
      </c>
    </row>
    <row r="39" ht="15.15" spans="3:30">
      <c r="C39" s="3" t="s">
        <v>239</v>
      </c>
      <c r="D39" s="4">
        <f>10/0.2</f>
        <v>50</v>
      </c>
      <c r="AA39">
        <v>150</v>
      </c>
      <c r="AB39">
        <v>150</v>
      </c>
      <c r="AC39">
        <f t="shared" si="1"/>
        <v>150</v>
      </c>
      <c r="AD39">
        <f t="shared" si="2"/>
        <v>146</v>
      </c>
    </row>
    <row r="40" spans="64:64">
      <c r="BL40" t="s">
        <v>298</v>
      </c>
    </row>
    <row r="41" spans="62:65">
      <c r="BJ41" t="s">
        <v>299</v>
      </c>
      <c r="BL41" s="17">
        <f>400/0.15</f>
        <v>2666.66666666667</v>
      </c>
      <c r="BM41" s="17" t="s">
        <v>270</v>
      </c>
    </row>
    <row r="42" spans="4:48">
      <c r="D42" s="2" t="s">
        <v>300</v>
      </c>
      <c r="E42" s="2"/>
      <c r="F42" t="s">
        <v>236</v>
      </c>
      <c r="AV42" t="s">
        <v>301</v>
      </c>
    </row>
    <row r="43" spans="4:65">
      <c r="D43" s="2" t="s">
        <v>234</v>
      </c>
      <c r="E43" s="2"/>
      <c r="AV43" t="s">
        <v>302</v>
      </c>
      <c r="BJ43" t="s">
        <v>239</v>
      </c>
      <c r="BK43">
        <v>0</v>
      </c>
      <c r="BL43" t="s">
        <v>303</v>
      </c>
      <c r="BM43">
        <f>400-0.15*BK43</f>
        <v>400</v>
      </c>
    </row>
    <row r="44" spans="4:65">
      <c r="D44" s="2" t="s">
        <v>304</v>
      </c>
      <c r="E44" s="2"/>
      <c r="H44" t="s">
        <v>292</v>
      </c>
      <c r="I44">
        <v>26</v>
      </c>
      <c r="K44" t="s">
        <v>239</v>
      </c>
      <c r="L44">
        <f>26/0.2</f>
        <v>130</v>
      </c>
      <c r="AV44" t="s">
        <v>305</v>
      </c>
      <c r="BG44" s="2"/>
      <c r="BK44">
        <v>100</v>
      </c>
      <c r="BM44">
        <f t="shared" ref="BM44:BM52" si="3">400-0.15*BK44</f>
        <v>385</v>
      </c>
    </row>
    <row r="45" spans="48:65">
      <c r="AV45" t="s">
        <v>306</v>
      </c>
      <c r="BK45">
        <v>200</v>
      </c>
      <c r="BM45">
        <f t="shared" si="3"/>
        <v>370</v>
      </c>
    </row>
    <row r="46" spans="48:65">
      <c r="AV46" t="s">
        <v>307</v>
      </c>
      <c r="BK46">
        <v>300</v>
      </c>
      <c r="BM46">
        <f t="shared" si="3"/>
        <v>355</v>
      </c>
    </row>
    <row r="47" spans="48:65">
      <c r="AV47" t="s">
        <v>308</v>
      </c>
      <c r="BK47">
        <v>400</v>
      </c>
      <c r="BM47">
        <f t="shared" si="3"/>
        <v>340</v>
      </c>
    </row>
    <row r="48" spans="48:65">
      <c r="AV48" t="s">
        <v>309</v>
      </c>
      <c r="BK48">
        <v>1000</v>
      </c>
      <c r="BM48">
        <f t="shared" si="3"/>
        <v>250</v>
      </c>
    </row>
    <row r="49" spans="48:65">
      <c r="AV49" t="s">
        <v>310</v>
      </c>
      <c r="BK49">
        <v>2000</v>
      </c>
      <c r="BM49">
        <f t="shared" si="3"/>
        <v>100</v>
      </c>
    </row>
    <row r="50" spans="48:65">
      <c r="AV50" t="s">
        <v>311</v>
      </c>
      <c r="BK50">
        <v>3000</v>
      </c>
      <c r="BM50">
        <f t="shared" si="3"/>
        <v>-50</v>
      </c>
    </row>
    <row r="51" spans="48:65">
      <c r="AV51" t="s">
        <v>312</v>
      </c>
      <c r="BK51">
        <v>4000</v>
      </c>
      <c r="BM51">
        <f t="shared" si="3"/>
        <v>-200</v>
      </c>
    </row>
    <row r="52" spans="48:65">
      <c r="AV52" t="s">
        <v>313</v>
      </c>
      <c r="BK52">
        <v>6000</v>
      </c>
      <c r="BM52">
        <f t="shared" si="3"/>
        <v>-500</v>
      </c>
    </row>
    <row r="53" spans="48:48">
      <c r="AV53" t="s">
        <v>314</v>
      </c>
    </row>
    <row r="54" spans="48:48">
      <c r="AV54" t="s">
        <v>315</v>
      </c>
    </row>
    <row r="55" spans="48:48">
      <c r="AV55" t="s">
        <v>316</v>
      </c>
    </row>
    <row r="56" spans="48:48">
      <c r="AV56" s="5" t="s">
        <v>317</v>
      </c>
    </row>
    <row r="57" spans="48:48">
      <c r="AV57" t="s">
        <v>318</v>
      </c>
    </row>
    <row r="58" spans="48:48">
      <c r="AV58" t="s">
        <v>319</v>
      </c>
    </row>
    <row r="59" spans="48:48">
      <c r="AV59" t="s">
        <v>320</v>
      </c>
    </row>
    <row r="60" spans="48:48">
      <c r="AV60" t="s">
        <v>321</v>
      </c>
    </row>
    <row r="61" spans="48:49">
      <c r="AV61" s="5" t="s">
        <v>322</v>
      </c>
      <c r="AW61" s="5"/>
    </row>
    <row r="62" spans="48:49">
      <c r="AV62" s="5" t="s">
        <v>323</v>
      </c>
      <c r="AW62" s="5"/>
    </row>
    <row r="63" spans="48:49">
      <c r="AV63" s="5" t="s">
        <v>324</v>
      </c>
      <c r="AW63" s="5"/>
    </row>
    <row r="64" spans="48:49">
      <c r="AV64" s="5" t="s">
        <v>325</v>
      </c>
      <c r="AW64" s="5"/>
    </row>
    <row r="65" spans="48:49">
      <c r="AV65" s="5" t="s">
        <v>326</v>
      </c>
      <c r="AW65" s="5"/>
    </row>
    <row r="66" spans="48:48">
      <c r="AV66" t="s">
        <v>327</v>
      </c>
    </row>
    <row r="67" spans="49:49">
      <c r="AW67" t="s">
        <v>328</v>
      </c>
    </row>
    <row r="81" spans="51:51">
      <c r="AY81" t="s">
        <v>329</v>
      </c>
    </row>
    <row r="85" spans="51:66">
      <c r="AY85" t="s">
        <v>330</v>
      </c>
      <c r="BN85" t="s">
        <v>331</v>
      </c>
    </row>
    <row r="86" spans="51:66">
      <c r="AY86" t="s">
        <v>332</v>
      </c>
      <c r="BN86" t="s">
        <v>333</v>
      </c>
    </row>
    <row r="87" spans="14:66">
      <c r="N87" t="s">
        <v>334</v>
      </c>
      <c r="AY87" t="s">
        <v>335</v>
      </c>
      <c r="BN87" t="s">
        <v>336</v>
      </c>
    </row>
    <row r="88" spans="66:66">
      <c r="BN88" t="s">
        <v>337</v>
      </c>
    </row>
    <row r="89" ht="18" spans="8:66">
      <c r="H89" s="18" t="s">
        <v>338</v>
      </c>
      <c r="I89" s="5"/>
      <c r="J89" s="5" t="s">
        <v>339</v>
      </c>
      <c r="K89" s="5"/>
      <c r="BN89" t="s">
        <v>340</v>
      </c>
    </row>
    <row r="90" spans="8:52">
      <c r="H90" t="s">
        <v>341</v>
      </c>
      <c r="AZ90" t="s">
        <v>298</v>
      </c>
    </row>
    <row r="91" ht="18" spans="52:57">
      <c r="AZ91" t="s">
        <v>270</v>
      </c>
      <c r="BA91">
        <f>20/0.1</f>
        <v>200</v>
      </c>
      <c r="BD91" s="45" t="s">
        <v>342</v>
      </c>
      <c r="BE91" s="47"/>
    </row>
    <row r="93" ht="18" spans="2:67">
      <c r="B93" t="s">
        <v>343</v>
      </c>
      <c r="BD93" s="45" t="s">
        <v>272</v>
      </c>
      <c r="BE93" s="45" t="s">
        <v>344</v>
      </c>
      <c r="BF93" s="45"/>
      <c r="BG93" s="45"/>
      <c r="BH93" s="45"/>
      <c r="BI93" s="45"/>
      <c r="BJ93" s="45">
        <f>20+0.75*(1-BD103)*120+25+15+20-0.1*120</f>
        <v>120</v>
      </c>
      <c r="BN93" t="s">
        <v>112</v>
      </c>
      <c r="BO93" t="s">
        <v>345</v>
      </c>
    </row>
    <row r="94" spans="2:67">
      <c r="B94" t="s">
        <v>346</v>
      </c>
      <c r="AW94" s="46"/>
      <c r="BD94" t="s">
        <v>272</v>
      </c>
      <c r="BE94">
        <f>20+25+15+20</f>
        <v>80</v>
      </c>
      <c r="BF94" t="s">
        <v>347</v>
      </c>
      <c r="BN94" t="s">
        <v>121</v>
      </c>
      <c r="BO94" t="s">
        <v>234</v>
      </c>
    </row>
    <row r="95" spans="49:75">
      <c r="AW95" s="46"/>
      <c r="BF95" t="s">
        <v>348</v>
      </c>
      <c r="BP95" t="s">
        <v>349</v>
      </c>
      <c r="BW95" t="s">
        <v>350</v>
      </c>
    </row>
    <row r="96" ht="15.15" spans="8:60">
      <c r="H96" t="s">
        <v>351</v>
      </c>
      <c r="I96" t="s">
        <v>352</v>
      </c>
      <c r="J96" t="s">
        <v>351</v>
      </c>
      <c r="K96" t="s">
        <v>353</v>
      </c>
      <c r="L96" t="s">
        <v>354</v>
      </c>
      <c r="AW96" s="46"/>
      <c r="BD96" t="s">
        <v>270</v>
      </c>
      <c r="BE96" t="s">
        <v>355</v>
      </c>
      <c r="BF96" t="s">
        <v>356</v>
      </c>
      <c r="BG96" t="s">
        <v>357</v>
      </c>
      <c r="BH96" t="s">
        <v>358</v>
      </c>
    </row>
    <row r="97" ht="15.15" spans="2:68">
      <c r="B97" t="s">
        <v>359</v>
      </c>
      <c r="F97" s="2" t="s">
        <v>296</v>
      </c>
      <c r="G97" s="2">
        <f>1/(1-0.75)</f>
        <v>4</v>
      </c>
      <c r="H97" s="2">
        <f>G97*100</f>
        <v>400</v>
      </c>
      <c r="I97" s="5">
        <f>1/(1-0.75+0.1)</f>
        <v>2.85714285714286</v>
      </c>
      <c r="J97" s="21">
        <f>I97*100</f>
        <v>285.714285714286</v>
      </c>
      <c r="K97" s="22">
        <f>J97+3000</f>
        <v>3285.71428571429</v>
      </c>
      <c r="L97">
        <f>H97+3000</f>
        <v>3400</v>
      </c>
      <c r="BJ97">
        <f>20+0.75*(1-BD103)*BJ93+25+15+20-0.1*BJ93</f>
        <v>120</v>
      </c>
      <c r="BO97" t="s">
        <v>360</v>
      </c>
      <c r="BP97">
        <f>200+90+65</f>
        <v>355</v>
      </c>
    </row>
    <row r="98" spans="2:75">
      <c r="B98" t="s">
        <v>361</v>
      </c>
      <c r="F98" s="2" t="s">
        <v>296</v>
      </c>
      <c r="G98" s="2">
        <f>1/(1-0.75)</f>
        <v>4</v>
      </c>
      <c r="H98" s="2">
        <f>G98*100</f>
        <v>400</v>
      </c>
      <c r="I98" s="5">
        <f>1/(1-0.75+0.1)</f>
        <v>2.85714285714286</v>
      </c>
      <c r="J98" s="23">
        <f>I98*100</f>
        <v>285.714285714286</v>
      </c>
      <c r="K98" s="22">
        <f>J98+3000</f>
        <v>3285.71428571429</v>
      </c>
      <c r="L98">
        <f>H98+3000</f>
        <v>3400</v>
      </c>
      <c r="W98" t="s">
        <v>362</v>
      </c>
      <c r="BD98">
        <f>BA91-80</f>
        <v>120</v>
      </c>
      <c r="BE98" t="s">
        <v>363</v>
      </c>
      <c r="BF98" t="s">
        <v>357</v>
      </c>
      <c r="BG98" t="s">
        <v>364</v>
      </c>
      <c r="BO98" s="26" t="s">
        <v>365</v>
      </c>
      <c r="BP98" s="27">
        <f>BP97/3</f>
        <v>118.333333333333</v>
      </c>
      <c r="BW98" t="s">
        <v>366</v>
      </c>
    </row>
    <row r="99" ht="18.75" spans="2:68">
      <c r="B99" t="s">
        <v>367</v>
      </c>
      <c r="F99" s="19" t="s">
        <v>368</v>
      </c>
      <c r="G99" s="2">
        <f>0.75/(1-0.75)</f>
        <v>3</v>
      </c>
      <c r="H99" s="2">
        <f>G99*100</f>
        <v>300</v>
      </c>
      <c r="I99">
        <f>0.75/(1-0.75+0.1)</f>
        <v>2.14285714285714</v>
      </c>
      <c r="J99" s="23">
        <f>I99*100</f>
        <v>214.285714285714</v>
      </c>
      <c r="K99" s="22">
        <f>J99+3000</f>
        <v>3214.28571428571</v>
      </c>
      <c r="L99">
        <f>H99+3000</f>
        <v>3300</v>
      </c>
      <c r="P99" s="24" t="s">
        <v>368</v>
      </c>
      <c r="S99" s="32" t="s">
        <v>369</v>
      </c>
      <c r="BO99" s="28" t="s">
        <v>370</v>
      </c>
      <c r="BP99" s="29">
        <f>BP98+250</f>
        <v>368.333333333333</v>
      </c>
    </row>
    <row r="100" ht="17.55" spans="2:78">
      <c r="B100" t="s">
        <v>371</v>
      </c>
      <c r="F100" s="20" t="s">
        <v>372</v>
      </c>
      <c r="G100" s="2">
        <f>-0.75/(1-0.75)</f>
        <v>-3</v>
      </c>
      <c r="H100" s="2">
        <f>G100*100</f>
        <v>-300</v>
      </c>
      <c r="I100">
        <f>-0.75/(1-0.75+0.1)</f>
        <v>-2.14285714285714</v>
      </c>
      <c r="J100" s="25">
        <f>I100*100</f>
        <v>-214.285714285714</v>
      </c>
      <c r="K100" s="22">
        <f>J100+3000</f>
        <v>2785.71428571429</v>
      </c>
      <c r="L100">
        <f>H100+3000</f>
        <v>2700</v>
      </c>
      <c r="N100">
        <v>3000</v>
      </c>
      <c r="O100" t="s">
        <v>234</v>
      </c>
      <c r="BD100">
        <v>120</v>
      </c>
      <c r="BE100">
        <f>(0.75-0.1)*120</f>
        <v>78</v>
      </c>
      <c r="BF100">
        <f>120*-0.75</f>
        <v>-90</v>
      </c>
      <c r="BG100" t="s">
        <v>373</v>
      </c>
      <c r="BH100">
        <v>80</v>
      </c>
      <c r="BW100" s="48" t="s">
        <v>374</v>
      </c>
      <c r="BX100" s="49" t="s">
        <v>375</v>
      </c>
      <c r="BY100" s="50" t="s">
        <v>376</v>
      </c>
      <c r="BZ100" s="5"/>
    </row>
    <row r="101" spans="2:77">
      <c r="B101" t="s">
        <v>377</v>
      </c>
      <c r="F101" s="2" t="s">
        <v>378</v>
      </c>
      <c r="G101" s="2">
        <f>1/(1-0.75+0.1)</f>
        <v>2.85714285714286</v>
      </c>
      <c r="H101" s="2">
        <f>G101*100</f>
        <v>285.714285714286</v>
      </c>
      <c r="J101">
        <v>285.714285714286</v>
      </c>
      <c r="K101">
        <v>3285.71428571429</v>
      </c>
      <c r="L101">
        <v>3400</v>
      </c>
      <c r="BD101">
        <v>200</v>
      </c>
      <c r="BE101">
        <f>(0.75-0.1)*200</f>
        <v>130</v>
      </c>
      <c r="BF101">
        <f>200*-0.75</f>
        <v>-150</v>
      </c>
      <c r="BG101" t="s">
        <v>373</v>
      </c>
      <c r="BH101">
        <v>80</v>
      </c>
      <c r="BW101" s="51"/>
      <c r="BY101" s="52"/>
    </row>
    <row r="102" spans="6:77">
      <c r="F102" s="2"/>
      <c r="G102" s="2"/>
      <c r="H102" s="2" t="s">
        <v>379</v>
      </c>
      <c r="BD102">
        <f>BD100-BE100-BH100</f>
        <v>-38</v>
      </c>
      <c r="BW102" s="51"/>
      <c r="BY102" s="52"/>
    </row>
    <row r="103" ht="18.75" spans="11:77">
      <c r="K103" s="5" t="s">
        <v>380</v>
      </c>
      <c r="L103" s="5" t="s">
        <v>381</v>
      </c>
      <c r="BC103" s="45" t="s">
        <v>373</v>
      </c>
      <c r="BD103" s="45">
        <f>BD102/BF100</f>
        <v>0.422222222222222</v>
      </c>
      <c r="BW103" s="28">
        <v>250</v>
      </c>
      <c r="BX103" s="53">
        <f>1/0.3</f>
        <v>3.33333333333333</v>
      </c>
      <c r="BY103" s="29">
        <f>-0.7/0.3</f>
        <v>-2.33333333333333</v>
      </c>
    </row>
    <row r="104" ht="15.6" spans="75:77">
      <c r="BW104" s="54" t="s">
        <v>382</v>
      </c>
      <c r="BX104" s="54">
        <f>BX103+BY103</f>
        <v>1</v>
      </c>
      <c r="BY104" s="54" t="s">
        <v>383</v>
      </c>
    </row>
    <row r="105" spans="56:56">
      <c r="BD105">
        <f>BD101-BE101-BH101</f>
        <v>-10</v>
      </c>
    </row>
    <row r="106" spans="2:2">
      <c r="B106" t="s">
        <v>384</v>
      </c>
    </row>
    <row r="107" spans="2:56">
      <c r="B107" t="s">
        <v>385</v>
      </c>
      <c r="BD107">
        <f>BD105/BF101</f>
        <v>0.0666666666666667</v>
      </c>
    </row>
    <row r="108" spans="2:15">
      <c r="B108" t="s">
        <v>386</v>
      </c>
      <c r="M108" t="s">
        <v>387</v>
      </c>
      <c r="O108" t="s">
        <v>388</v>
      </c>
    </row>
    <row r="109" spans="2:2">
      <c r="B109" t="s">
        <v>389</v>
      </c>
    </row>
    <row r="110" ht="15.15" spans="2:13">
      <c r="B110" t="s">
        <v>390</v>
      </c>
      <c r="M110" t="s">
        <v>121</v>
      </c>
    </row>
    <row r="111" spans="7:14">
      <c r="G111" t="s">
        <v>173</v>
      </c>
      <c r="H111" t="s">
        <v>175</v>
      </c>
      <c r="I111" t="s">
        <v>177</v>
      </c>
      <c r="J111" s="26" t="s">
        <v>178</v>
      </c>
      <c r="K111" s="27" t="s">
        <v>179</v>
      </c>
      <c r="M111" t="s">
        <v>7</v>
      </c>
      <c r="N111">
        <f>J112-0.2*3000</f>
        <v>-100</v>
      </c>
    </row>
    <row r="112" ht="15.15" spans="2:16">
      <c r="B112" t="s">
        <v>391</v>
      </c>
      <c r="C112" t="s">
        <v>392</v>
      </c>
      <c r="G112">
        <v>2000</v>
      </c>
      <c r="H112">
        <v>700</v>
      </c>
      <c r="I112">
        <v>1000</v>
      </c>
      <c r="J112" s="28">
        <v>500</v>
      </c>
      <c r="K112" s="29" t="s">
        <v>393</v>
      </c>
      <c r="M112" t="s">
        <v>7</v>
      </c>
      <c r="N112">
        <v>0</v>
      </c>
      <c r="O112" t="s">
        <v>270</v>
      </c>
      <c r="P112">
        <f>J112/2</f>
        <v>250</v>
      </c>
    </row>
    <row r="113" spans="27:31">
      <c r="AA113" t="s">
        <v>173</v>
      </c>
      <c r="AB113" t="s">
        <v>175</v>
      </c>
      <c r="AC113" t="s">
        <v>177</v>
      </c>
      <c r="AD113" t="s">
        <v>178</v>
      </c>
      <c r="AE113" t="s">
        <v>179</v>
      </c>
    </row>
    <row r="114" spans="4:32">
      <c r="D114" t="s">
        <v>394</v>
      </c>
      <c r="AA114">
        <v>2000</v>
      </c>
      <c r="AB114">
        <v>700</v>
      </c>
      <c r="AC114">
        <v>1000</v>
      </c>
      <c r="AD114">
        <v>530</v>
      </c>
      <c r="AE114" t="s">
        <v>393</v>
      </c>
      <c r="AF114">
        <f>SUM(AA114:AD114)</f>
        <v>4230</v>
      </c>
    </row>
    <row r="115" spans="4:6">
      <c r="D115" t="s">
        <v>272</v>
      </c>
      <c r="E115" t="s">
        <v>395</v>
      </c>
      <c r="F115" t="s">
        <v>396</v>
      </c>
    </row>
    <row r="116" spans="1:29">
      <c r="A116" t="s">
        <v>397</v>
      </c>
      <c r="C116" t="s">
        <v>270</v>
      </c>
      <c r="D116">
        <f>1-0.9+0.2</f>
        <v>0.3</v>
      </c>
      <c r="E116">
        <f>G112+H112+I112+J112</f>
        <v>4200</v>
      </c>
      <c r="AC116" t="s">
        <v>398</v>
      </c>
    </row>
    <row r="117" spans="3:36">
      <c r="C117" t="s">
        <v>270</v>
      </c>
      <c r="D117">
        <f>E116/D116</f>
        <v>14000</v>
      </c>
      <c r="AC117" t="s">
        <v>272</v>
      </c>
      <c r="AD117">
        <f>SUM(AB114:AD114)+2000</f>
        <v>4230</v>
      </c>
      <c r="AE117" t="s">
        <v>396</v>
      </c>
      <c r="AI117" t="s">
        <v>399</v>
      </c>
      <c r="AJ117">
        <f>1/(1-0.9+0.2)</f>
        <v>3.33333333333333</v>
      </c>
    </row>
    <row r="118" ht="15.15" spans="28:30">
      <c r="AB118" t="s">
        <v>270</v>
      </c>
      <c r="AC118">
        <f>1-0.9+0.2</f>
        <v>0.3</v>
      </c>
      <c r="AD118">
        <v>4230</v>
      </c>
    </row>
    <row r="119" ht="15.15" spans="2:36">
      <c r="B119" t="s">
        <v>400</v>
      </c>
      <c r="W119" t="s">
        <v>401</v>
      </c>
      <c r="Y119">
        <f>Y122*0.3</f>
        <v>75</v>
      </c>
      <c r="AB119" t="s">
        <v>270</v>
      </c>
      <c r="AC119">
        <f>AD118/AC118</f>
        <v>14100</v>
      </c>
      <c r="AI119" s="36" t="s">
        <v>402</v>
      </c>
      <c r="AJ119" s="44">
        <f>AJ117*30</f>
        <v>100</v>
      </c>
    </row>
    <row r="120" ht="18.75" spans="2:24">
      <c r="B120" t="s">
        <v>403</v>
      </c>
      <c r="T120" s="33" t="s">
        <v>404</v>
      </c>
      <c r="U120" s="34" t="s">
        <v>405</v>
      </c>
      <c r="V120" s="35"/>
      <c r="W120" s="22"/>
      <c r="X120" s="36" t="s">
        <v>406</v>
      </c>
    </row>
    <row r="121" spans="2:26">
      <c r="B121" t="s">
        <v>407</v>
      </c>
      <c r="W121" s="22" t="s">
        <v>408</v>
      </c>
      <c r="X121" s="22">
        <f>0.7/0.3</f>
        <v>2.33333333333333</v>
      </c>
      <c r="Y121">
        <f>X121*V128</f>
        <v>175</v>
      </c>
      <c r="Z121" t="s">
        <v>409</v>
      </c>
    </row>
    <row r="122" ht="15.15" spans="2:26">
      <c r="B122" t="s">
        <v>410</v>
      </c>
      <c r="Y122">
        <f>T128*V128</f>
        <v>250</v>
      </c>
      <c r="Z122" t="s">
        <v>411</v>
      </c>
    </row>
    <row r="123" ht="15.15" spans="2:26">
      <c r="B123" t="s">
        <v>412</v>
      </c>
      <c r="T123" s="37">
        <v>75</v>
      </c>
      <c r="U123" s="38" t="s">
        <v>413</v>
      </c>
      <c r="V123" s="39"/>
      <c r="W123" s="40"/>
      <c r="X123" s="40"/>
      <c r="Y123" s="43">
        <f>Y122-Y121</f>
        <v>75</v>
      </c>
      <c r="Z123" t="s">
        <v>414</v>
      </c>
    </row>
    <row r="125" ht="18.75" spans="6:18">
      <c r="F125" t="s">
        <v>415</v>
      </c>
      <c r="G125">
        <v>200</v>
      </c>
      <c r="J125" t="s">
        <v>224</v>
      </c>
      <c r="K125">
        <v>0.7</v>
      </c>
      <c r="P125" s="18" t="s">
        <v>112</v>
      </c>
      <c r="Q125" s="18" t="s">
        <v>345</v>
      </c>
      <c r="R125" s="18"/>
    </row>
    <row r="126" ht="18.75" spans="6:26">
      <c r="F126" t="s">
        <v>416</v>
      </c>
      <c r="G126">
        <v>90</v>
      </c>
      <c r="X126" s="33" t="s">
        <v>404</v>
      </c>
      <c r="Y126" s="34" t="s">
        <v>405</v>
      </c>
      <c r="Z126" s="35"/>
    </row>
    <row r="127" ht="15.15" spans="6:15">
      <c r="F127" t="s">
        <v>175</v>
      </c>
      <c r="G127">
        <v>65</v>
      </c>
      <c r="K127" t="s">
        <v>239</v>
      </c>
      <c r="L127" t="s">
        <v>417</v>
      </c>
      <c r="N127" s="30">
        <f>N128+250</f>
        <v>1433.33333333333</v>
      </c>
      <c r="O127" s="30" t="s">
        <v>397</v>
      </c>
    </row>
    <row r="128" ht="15.15" spans="6:22">
      <c r="F128" t="s">
        <v>418</v>
      </c>
      <c r="G128">
        <f>SUM(G125:G127)</f>
        <v>355</v>
      </c>
      <c r="K128" t="s">
        <v>419</v>
      </c>
      <c r="L128">
        <v>355</v>
      </c>
      <c r="N128" s="22">
        <f>L128/0.3</f>
        <v>1183.33333333333</v>
      </c>
      <c r="P128" s="31" t="s">
        <v>402</v>
      </c>
      <c r="Q128" s="41">
        <v>250</v>
      </c>
      <c r="R128" s="30"/>
      <c r="S128" s="31" t="s">
        <v>420</v>
      </c>
      <c r="T128" s="42">
        <f>1/0.3</f>
        <v>3.33333333333333</v>
      </c>
      <c r="U128" s="30" t="s">
        <v>421</v>
      </c>
      <c r="V128" s="30">
        <f>Q128/T128</f>
        <v>75</v>
      </c>
    </row>
    <row r="129" spans="14:14">
      <c r="N129" s="5">
        <f>N128+75</f>
        <v>1258.33333333333</v>
      </c>
    </row>
    <row r="130" spans="2:2">
      <c r="B130" t="s">
        <v>422</v>
      </c>
    </row>
    <row r="131" spans="2:2">
      <c r="B131" t="s">
        <v>423</v>
      </c>
    </row>
    <row r="132" spans="2:2">
      <c r="B132" t="s">
        <v>424</v>
      </c>
    </row>
    <row r="133" ht="15.15"/>
    <row r="134" spans="2:26">
      <c r="B134" s="17" t="s">
        <v>270</v>
      </c>
      <c r="C134" s="17" t="s">
        <v>425</v>
      </c>
      <c r="D134" s="17" t="s">
        <v>426</v>
      </c>
      <c r="E134" s="17" t="s">
        <v>427</v>
      </c>
      <c r="F134" s="17" t="s">
        <v>173</v>
      </c>
      <c r="G134" s="17" t="s">
        <v>177</v>
      </c>
      <c r="H134" s="17" t="s">
        <v>175</v>
      </c>
      <c r="I134" s="17" t="s">
        <v>272</v>
      </c>
      <c r="Q134" s="17" t="s">
        <v>270</v>
      </c>
      <c r="R134" s="17" t="s">
        <v>425</v>
      </c>
      <c r="S134" s="17" t="s">
        <v>426</v>
      </c>
      <c r="T134" s="17" t="s">
        <v>427</v>
      </c>
      <c r="U134" s="17" t="s">
        <v>173</v>
      </c>
      <c r="V134" s="17" t="s">
        <v>177</v>
      </c>
      <c r="W134" s="17" t="s">
        <v>175</v>
      </c>
      <c r="X134" s="58" t="s">
        <v>272</v>
      </c>
      <c r="Y134" s="60" t="s">
        <v>428</v>
      </c>
      <c r="Z134" s="5" t="s">
        <v>272</v>
      </c>
    </row>
    <row r="135" ht="15.6" spans="2:26">
      <c r="B135" s="17">
        <v>350</v>
      </c>
      <c r="C135" s="17"/>
      <c r="D135" s="17"/>
      <c r="E135" s="17"/>
      <c r="F135" s="17"/>
      <c r="G135" s="17"/>
      <c r="H135" s="17"/>
      <c r="I135" s="17"/>
      <c r="N135" s="55" t="s">
        <v>429</v>
      </c>
      <c r="Q135" s="17">
        <v>350</v>
      </c>
      <c r="R135" s="17">
        <f>0.25*Q135</f>
        <v>87.5</v>
      </c>
      <c r="S135" s="17">
        <v>40</v>
      </c>
      <c r="T135" s="17">
        <f>Q135-R135+S135</f>
        <v>302.5</v>
      </c>
      <c r="U135" s="17">
        <f>0.8*T135</f>
        <v>242</v>
      </c>
      <c r="V135" s="17">
        <v>78</v>
      </c>
      <c r="W135" s="17">
        <v>70</v>
      </c>
      <c r="X135" s="58">
        <f>SUM(U135:W135)</f>
        <v>390</v>
      </c>
      <c r="Y135" s="61">
        <f>T135-U135</f>
        <v>60.5</v>
      </c>
      <c r="Z135" s="5">
        <f>0.8*(Q135*(1-0.25)+S135)+V135+W135</f>
        <v>390</v>
      </c>
    </row>
    <row r="136" ht="15.6" spans="2:26">
      <c r="B136" s="17">
        <v>450</v>
      </c>
      <c r="C136" s="17"/>
      <c r="D136" s="17"/>
      <c r="E136" s="17"/>
      <c r="F136" s="17"/>
      <c r="G136" s="17"/>
      <c r="H136" s="17"/>
      <c r="I136" s="17"/>
      <c r="N136" s="55"/>
      <c r="Q136" s="17">
        <v>450</v>
      </c>
      <c r="R136" s="17">
        <f>0.25*Q136</f>
        <v>112.5</v>
      </c>
      <c r="S136" s="17">
        <v>40</v>
      </c>
      <c r="T136" s="17">
        <f>Q136-R136+S136</f>
        <v>377.5</v>
      </c>
      <c r="U136" s="17">
        <f>0.8*T136</f>
        <v>302</v>
      </c>
      <c r="V136" s="17">
        <v>78</v>
      </c>
      <c r="W136" s="17">
        <v>70</v>
      </c>
      <c r="X136" s="58">
        <f>SUM(U136:W136)</f>
        <v>450</v>
      </c>
      <c r="Y136" s="61">
        <f>T136-U136</f>
        <v>75.5</v>
      </c>
      <c r="Z136" s="5">
        <f>0.8*(Q136*(1-0.25)+S136)+V136+W136</f>
        <v>450</v>
      </c>
    </row>
    <row r="137" ht="15.6" spans="2:26">
      <c r="B137" s="17">
        <v>550</v>
      </c>
      <c r="C137" s="17"/>
      <c r="D137" s="17"/>
      <c r="E137" s="17"/>
      <c r="F137" s="17"/>
      <c r="G137" s="17"/>
      <c r="H137" s="17"/>
      <c r="I137" s="17"/>
      <c r="N137" s="55" t="s">
        <v>430</v>
      </c>
      <c r="Q137" s="17">
        <v>550</v>
      </c>
      <c r="R137" s="17">
        <f>0.25*Q137</f>
        <v>137.5</v>
      </c>
      <c r="S137" s="17">
        <v>40</v>
      </c>
      <c r="T137" s="17">
        <f>Q137-R137+S137</f>
        <v>452.5</v>
      </c>
      <c r="U137" s="17">
        <f>0.8*T137</f>
        <v>362</v>
      </c>
      <c r="V137" s="17">
        <v>78</v>
      </c>
      <c r="W137" s="17">
        <v>70</v>
      </c>
      <c r="X137" s="58">
        <f>SUM(U137:W137)</f>
        <v>510</v>
      </c>
      <c r="Y137" s="61">
        <f>T137-U137</f>
        <v>90.5</v>
      </c>
      <c r="Z137" s="5">
        <f>0.8*(Q137*(1-0.25)+S137)+V137+W137</f>
        <v>510</v>
      </c>
    </row>
    <row r="138" ht="16.35" spans="2:26">
      <c r="B138" s="17">
        <v>650</v>
      </c>
      <c r="C138" s="17"/>
      <c r="D138" s="17"/>
      <c r="E138" s="17"/>
      <c r="F138" s="17"/>
      <c r="G138" s="17"/>
      <c r="H138" s="17"/>
      <c r="I138" s="17"/>
      <c r="N138" s="55" t="s">
        <v>431</v>
      </c>
      <c r="Q138" s="17">
        <v>650</v>
      </c>
      <c r="R138" s="17">
        <f>0.25*Q138</f>
        <v>162.5</v>
      </c>
      <c r="S138" s="17">
        <v>40</v>
      </c>
      <c r="T138" s="17">
        <f>Q138-R138+S138</f>
        <v>527.5</v>
      </c>
      <c r="U138" s="17">
        <f>0.8*T138</f>
        <v>422</v>
      </c>
      <c r="V138" s="17">
        <v>78</v>
      </c>
      <c r="W138" s="17">
        <v>70</v>
      </c>
      <c r="X138" s="58">
        <f>SUM(U138:W138)</f>
        <v>570</v>
      </c>
      <c r="Y138" s="62">
        <f>T138-U138</f>
        <v>105.5</v>
      </c>
      <c r="Z138" s="5">
        <f>0.8*(Q138*(1-0.25)+S138)+V138+W138</f>
        <v>570</v>
      </c>
    </row>
    <row r="139" ht="15.6" spans="14:14">
      <c r="N139" s="55"/>
    </row>
    <row r="140" ht="15.6" spans="14:14">
      <c r="N140" s="55" t="s">
        <v>334</v>
      </c>
    </row>
    <row r="141" ht="15.15"/>
    <row r="142" ht="21.75" spans="14:18">
      <c r="N142" s="56" t="s">
        <v>432</v>
      </c>
      <c r="O142" s="57"/>
      <c r="P142" s="57"/>
      <c r="Q142" s="57"/>
      <c r="R142" s="59"/>
    </row>
  </sheetData>
  <pageMargins left="0.7" right="0.7" top="0.787401575" bottom="0.787401575" header="0.3" footer="0.3"/>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Company>VŠB TUO Ekonomická fakulta</Company>
  <Application>Microsoft Excel</Application>
  <HeadingPairs>
    <vt:vector size="2" baseType="variant">
      <vt:variant>
        <vt:lpstr>工作表</vt:lpstr>
      </vt:variant>
      <vt:variant>
        <vt:i4>3</vt:i4>
      </vt:variant>
    </vt:vector>
  </HeadingPairs>
  <TitlesOfParts>
    <vt:vector size="3" baseType="lpstr">
      <vt:lpstr>CSU HDP a zložky</vt:lpstr>
      <vt:lpstr> cv1 HDP</vt:lpstr>
      <vt:lpstr>cv2 výd model</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Drastichová Magdaléna</dc:creator>
  <cp:lastModifiedBy>magda</cp:lastModifiedBy>
  <dcterms:created xsi:type="dcterms:W3CDTF">2024-02-28T11:45:00Z</dcterms:created>
  <dcterms:modified xsi:type="dcterms:W3CDTF">2024-03-16T21:23:31Z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B98224AAA65A4156BF167A5237B83111_13</vt:lpwstr>
  </property>
  <property fmtid="{D5CDD505-2E9C-101B-9397-08002B2CF9AE}" pid="3" name="KSOProductBuildVer">
    <vt:lpwstr>1033-12.2.0.13489</vt:lpwstr>
  </property>
</Properties>
</file>