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mvso-my.sharepoint.com/personal/drastichovam_mvso_cz/Documents/Plocha/makroekonomie new/mvso/"/>
    </mc:Choice>
  </mc:AlternateContent>
  <xr:revisionPtr revIDLastSave="0" documentId="8_{CFFA8DCD-2D7B-455A-B21B-0BAAABFF2587}" xr6:coauthVersionLast="47" xr6:coauthVersionMax="47" xr10:uidLastSave="{00000000-0000-0000-0000-000000000000}"/>
  <bookViews>
    <workbookView xWindow="28680" yWindow="-120" windowWidth="29040" windowHeight="15720" activeTab="2" xr2:uid="{BEB4BEFC-F3C7-4781-931C-42D0E8AF0E12}"/>
  </bookViews>
  <sheets>
    <sheet name="CSU HDP a zložky" sheetId="2" r:id="rId1"/>
    <sheet name=" cv1 HDP" sheetId="1" r:id="rId2"/>
    <sheet name="cv2 výd model" sheetId="3" r:id="rId3"/>
  </sheets>
  <externalReferences>
    <externalReference r:id="rId4"/>
  </externalReferences>
  <definedNames>
    <definedName nam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38" i="3" l="1"/>
  <c r="R138" i="3"/>
  <c r="T138" i="3" s="1"/>
  <c r="Z137" i="3"/>
  <c r="R137" i="3"/>
  <c r="T137" i="3" s="1"/>
  <c r="Z136" i="3"/>
  <c r="R136" i="3"/>
  <c r="T136" i="3" s="1"/>
  <c r="Z135" i="3"/>
  <c r="T135" i="3"/>
  <c r="R135" i="3"/>
  <c r="T128" i="3"/>
  <c r="V128" i="3" s="1"/>
  <c r="Y122" i="3" s="1"/>
  <c r="N128" i="3"/>
  <c r="N129" i="3" s="1"/>
  <c r="G128" i="3"/>
  <c r="N127" i="3"/>
  <c r="X121" i="3"/>
  <c r="Y121" i="3" s="1"/>
  <c r="AJ119" i="3"/>
  <c r="AC118" i="3"/>
  <c r="AC119" i="3" s="1"/>
  <c r="AJ117" i="3"/>
  <c r="AD117" i="3"/>
  <c r="E116" i="3"/>
  <c r="D117" i="3" s="1"/>
  <c r="D116" i="3"/>
  <c r="AF114" i="3"/>
  <c r="P112" i="3"/>
  <c r="N111" i="3"/>
  <c r="BY103" i="3"/>
  <c r="BX103" i="3"/>
  <c r="BX104" i="3" s="1"/>
  <c r="BD102" i="3"/>
  <c r="BD103" i="3" s="1"/>
  <c r="BF101" i="3"/>
  <c r="BE101" i="3"/>
  <c r="BD105" i="3" s="1"/>
  <c r="BD107" i="3" s="1"/>
  <c r="G101" i="3"/>
  <c r="H101" i="3" s="1"/>
  <c r="BF100" i="3"/>
  <c r="BE100" i="3"/>
  <c r="I100" i="3"/>
  <c r="J100" i="3" s="1"/>
  <c r="K100" i="3" s="1"/>
  <c r="G100" i="3"/>
  <c r="H100" i="3" s="1"/>
  <c r="L100" i="3" s="1"/>
  <c r="L99" i="3"/>
  <c r="I99" i="3"/>
  <c r="J99" i="3" s="1"/>
  <c r="K99" i="3" s="1"/>
  <c r="H99" i="3"/>
  <c r="G99" i="3"/>
  <c r="I98" i="3"/>
  <c r="J98" i="3" s="1"/>
  <c r="K98" i="3" s="1"/>
  <c r="H98" i="3"/>
  <c r="L98" i="3" s="1"/>
  <c r="G98" i="3"/>
  <c r="BP97" i="3"/>
  <c r="BP98" i="3" s="1"/>
  <c r="BP99" i="3" s="1"/>
  <c r="I97" i="3"/>
  <c r="J97" i="3" s="1"/>
  <c r="K97" i="3" s="1"/>
  <c r="G97" i="3"/>
  <c r="H97" i="3" s="1"/>
  <c r="L97" i="3" s="1"/>
  <c r="BE94" i="3"/>
  <c r="BA91" i="3"/>
  <c r="BD98" i="3" s="1"/>
  <c r="BM52" i="3"/>
  <c r="BM51" i="3"/>
  <c r="BM50" i="3"/>
  <c r="BM49" i="3"/>
  <c r="BM48" i="3"/>
  <c r="BM47" i="3"/>
  <c r="BM46" i="3"/>
  <c r="BM45" i="3"/>
  <c r="BM44" i="3"/>
  <c r="L44" i="3"/>
  <c r="BM43" i="3"/>
  <c r="BL41" i="3"/>
  <c r="AD39" i="3"/>
  <c r="AC39" i="3"/>
  <c r="D39" i="3"/>
  <c r="AD38" i="3"/>
  <c r="AC38" i="3"/>
  <c r="J38" i="3"/>
  <c r="AD37" i="3"/>
  <c r="AC37" i="3"/>
  <c r="AD36" i="3"/>
  <c r="AC36" i="3"/>
  <c r="P36" i="3"/>
  <c r="AD35" i="3"/>
  <c r="AC35" i="3"/>
  <c r="P35" i="3"/>
  <c r="L35" i="3"/>
  <c r="AD34" i="3"/>
  <c r="AC34" i="3"/>
  <c r="P34" i="3"/>
  <c r="AD33" i="3"/>
  <c r="AC33" i="3"/>
  <c r="P33" i="3"/>
  <c r="AD32" i="3"/>
  <c r="AC32" i="3"/>
  <c r="P32" i="3"/>
  <c r="AD31" i="3"/>
  <c r="AC31" i="3"/>
  <c r="P31" i="3"/>
  <c r="AD30" i="3"/>
  <c r="AC30" i="3"/>
  <c r="P30" i="3"/>
  <c r="BB29" i="3"/>
  <c r="AD29" i="3"/>
  <c r="AC29" i="3"/>
  <c r="P29" i="3"/>
  <c r="BB28" i="3"/>
  <c r="BA28" i="3"/>
  <c r="AD28" i="3"/>
  <c r="AC28" i="3"/>
  <c r="P28" i="3"/>
  <c r="P27" i="3"/>
  <c r="G26" i="3"/>
  <c r="J26" i="3" s="1"/>
  <c r="G25" i="3"/>
  <c r="J25" i="3" s="1"/>
  <c r="K22" i="3"/>
  <c r="Q17" i="3"/>
  <c r="L17" i="3"/>
  <c r="F17" i="3"/>
  <c r="L14" i="3"/>
  <c r="Q14" i="3" s="1"/>
  <c r="F13" i="3"/>
  <c r="L11" i="3"/>
  <c r="Q11" i="3" s="1"/>
  <c r="T11" i="3" s="1"/>
  <c r="H5" i="3"/>
  <c r="E5" i="3"/>
  <c r="D5" i="3"/>
  <c r="H4" i="3"/>
  <c r="E4" i="3"/>
  <c r="D4" i="3"/>
  <c r="M8" i="2"/>
  <c r="L8" i="2"/>
  <c r="K8" i="2"/>
  <c r="J8" i="2"/>
  <c r="I8" i="2"/>
  <c r="H8" i="2"/>
  <c r="G8" i="2"/>
  <c r="F8" i="2"/>
  <c r="E8" i="2"/>
  <c r="D8" i="2"/>
  <c r="C8" i="2"/>
  <c r="O6" i="2"/>
  <c r="D223" i="1"/>
  <c r="J193" i="1"/>
  <c r="I193" i="1"/>
  <c r="G193" i="1"/>
  <c r="D193" i="1"/>
  <c r="C193" i="1"/>
  <c r="F192" i="1"/>
  <c r="F193" i="1" s="1"/>
  <c r="H193" i="1" s="1"/>
  <c r="E177" i="1"/>
  <c r="E178" i="1" s="1"/>
  <c r="J171" i="1"/>
  <c r="D159" i="1"/>
  <c r="K160" i="1" s="1"/>
  <c r="D164" i="1" s="1"/>
  <c r="B155" i="1"/>
  <c r="B152" i="1"/>
  <c r="B153" i="1" s="1"/>
  <c r="B154" i="1" s="1"/>
  <c r="D140" i="1"/>
  <c r="E140" i="1" s="1"/>
  <c r="G140" i="1" s="1"/>
  <c r="E138" i="1"/>
  <c r="E137" i="1"/>
  <c r="E136" i="1"/>
  <c r="E135" i="1"/>
  <c r="G138" i="1" s="1"/>
  <c r="E134" i="1"/>
  <c r="E133" i="1"/>
  <c r="G134" i="1" s="1"/>
  <c r="O125" i="1"/>
  <c r="Q123" i="1"/>
  <c r="Q122" i="1"/>
  <c r="P122" i="1"/>
  <c r="P123" i="1" s="1"/>
  <c r="N124" i="1" s="1"/>
  <c r="Q124" i="1" s="1"/>
  <c r="I122" i="1"/>
  <c r="I123" i="1" s="1"/>
  <c r="G124" i="1" s="1"/>
  <c r="Q121" i="1"/>
  <c r="J116" i="1"/>
  <c r="C117" i="1" s="1"/>
  <c r="F116" i="1"/>
  <c r="C116" i="1"/>
  <c r="D117" i="1" s="1"/>
  <c r="F105" i="1"/>
  <c r="I105" i="1" s="1"/>
  <c r="J105" i="1" s="1"/>
  <c r="H98" i="1"/>
  <c r="G98" i="1"/>
  <c r="D98" i="1"/>
  <c r="F104" i="1" s="1"/>
  <c r="D79" i="1"/>
  <c r="D78" i="1"/>
  <c r="E78" i="1" s="1"/>
  <c r="B76" i="1"/>
  <c r="C65" i="1" s="1"/>
  <c r="C66" i="1" s="1"/>
  <c r="B75" i="1"/>
  <c r="M68" i="1"/>
  <c r="M69" i="1" s="1"/>
  <c r="N72" i="1" s="1"/>
  <c r="D66" i="1"/>
  <c r="N64" i="1"/>
  <c r="N68" i="1" s="1"/>
  <c r="D50" i="1"/>
  <c r="E193" i="1" l="1"/>
  <c r="F106" i="1"/>
  <c r="I106" i="1" s="1"/>
  <c r="G135" i="1"/>
  <c r="I124" i="1"/>
  <c r="J98" i="1"/>
  <c r="L98" i="1" s="1"/>
  <c r="P124" i="1"/>
  <c r="K193" i="1"/>
  <c r="D185" i="1" s="1"/>
  <c r="F160" i="1"/>
  <c r="D160" i="1" s="1"/>
  <c r="M72" i="1"/>
  <c r="E184" i="1"/>
  <c r="F184" i="1" s="1"/>
  <c r="G184" i="1" s="1"/>
  <c r="D184" i="1"/>
  <c r="Y119" i="3"/>
  <c r="Y123" i="3"/>
  <c r="I140" i="1"/>
  <c r="T14" i="3"/>
  <c r="V14" i="3" s="1"/>
  <c r="Y135" i="3"/>
  <c r="Y136" i="3"/>
  <c r="U136" i="3"/>
  <c r="X136" i="3" s="1"/>
  <c r="V17" i="3"/>
  <c r="U137" i="3"/>
  <c r="X137" i="3" s="1"/>
  <c r="BJ97" i="3"/>
  <c r="BJ93" i="3"/>
  <c r="U138" i="3"/>
  <c r="X138" i="3" s="1"/>
  <c r="T17" i="3"/>
  <c r="I104" i="1"/>
  <c r="J104" i="1" s="1"/>
  <c r="J106" i="1" s="1"/>
  <c r="U135" i="3"/>
  <c r="X135" i="3" s="1"/>
  <c r="I98" i="1"/>
  <c r="K98" i="1" s="1"/>
  <c r="E185" i="1" l="1"/>
  <c r="F185" i="1" s="1"/>
  <c r="G185" i="1" s="1"/>
  <c r="E161" i="1"/>
  <c r="D161" i="1" s="1"/>
  <c r="D162" i="1"/>
  <c r="Y138" i="3"/>
  <c r="Y137" i="3"/>
</calcChain>
</file>

<file path=xl/sharedStrings.xml><?xml version="1.0" encoding="utf-8"?>
<sst xmlns="http://schemas.openxmlformats.org/spreadsheetml/2006/main" count="622" uniqueCount="433">
  <si>
    <t>Klíčová slova</t>
  </si>
  <si>
    <t>Klíčové vzorce</t>
  </si>
  <si>
    <r>
      <t xml:space="preserve">Pro vztah </t>
    </r>
    <r>
      <rPr>
        <b/>
        <sz val="11"/>
        <color theme="1"/>
        <rFont val="Calibri"/>
        <family val="2"/>
        <charset val="238"/>
        <scheme val="minor"/>
      </rPr>
      <t>GDP a GNP</t>
    </r>
    <r>
      <rPr>
        <sz val="11"/>
        <color theme="1"/>
        <rFont val="Calibri"/>
        <family val="2"/>
        <charset val="238"/>
        <scheme val="minor"/>
      </rPr>
      <t xml:space="preserve"> pak platí: je-li </t>
    </r>
    <r>
      <rPr>
        <b/>
        <sz val="11"/>
        <color theme="1"/>
        <rFont val="Calibri"/>
        <family val="2"/>
        <charset val="238"/>
        <scheme val="minor"/>
      </rPr>
      <t>NXFI = 0, platí GDP = GNP; je-li NXFI &lt; 0, je GDP &gt; GNP; je-li NXFI &gt; 0,</t>
    </r>
    <r>
      <rPr>
        <sz val="11"/>
        <color theme="1"/>
        <rFont val="Calibri"/>
        <family val="2"/>
        <charset val="238"/>
        <scheme val="minor"/>
      </rPr>
      <t xml:space="preserve"> </t>
    </r>
    <r>
      <rPr>
        <b/>
        <sz val="11"/>
        <color theme="1"/>
        <rFont val="Calibri"/>
        <family val="2"/>
        <charset val="238"/>
        <scheme val="minor"/>
      </rPr>
      <t>je GDP &lt; GNP.</t>
    </r>
  </si>
  <si>
    <t>Hrubý národní produkt (GNP) potom definujeme jako hrubý domácí produkt plus čistý export důchodu z</t>
  </si>
  <si>
    <t>Hrubý domácí produkt (GDP)</t>
  </si>
  <si>
    <t>GDP = C + Ig + G + NX</t>
  </si>
  <si>
    <t xml:space="preserve"> Hrubý národní produkt měří celkový důchod získaný občany domácí země bez ohledu na to, ve</t>
  </si>
  <si>
    <t>vlastnictví aktiv:</t>
  </si>
  <si>
    <t>Hrubý národní produkt (GNP)</t>
  </si>
  <si>
    <t>GNP = GDP + NXFI</t>
  </si>
  <si>
    <t>GDP = NDI + T0 + a</t>
  </si>
  <si>
    <t>které zemi jsou služby jejich výrobních faktorů užívány.</t>
  </si>
  <si>
    <t>Nominální hrubý domácí produkt</t>
  </si>
  <si>
    <t xml:space="preserve">Reálný hrubý domácí produkt </t>
  </si>
  <si>
    <t>Čistý domácí produkt (NDP)</t>
  </si>
  <si>
    <t>NDP = GDP – a</t>
  </si>
  <si>
    <t>IR=a=IG-IN</t>
  </si>
  <si>
    <t>Čistý národní produkt (NNP)</t>
  </si>
  <si>
    <t>NNP = GNP – a</t>
  </si>
  <si>
    <t>Čistý důchod majetku ze zahraničí (NXFI)</t>
  </si>
  <si>
    <t>NXFI = XFI – MFI</t>
  </si>
  <si>
    <t>Národní důchod (NI)</t>
  </si>
  <si>
    <t>NI = NNP – T0</t>
  </si>
  <si>
    <t xml:space="preserve">Čistý domácí důchod (NDI) </t>
  </si>
  <si>
    <t xml:space="preserve">NDI = GDP - T0 - a </t>
  </si>
  <si>
    <t xml:space="preserve">NDI = mzdy + úroky + zisky firem+ </t>
  </si>
  <si>
    <t>Přidaná hodnota</t>
  </si>
  <si>
    <t xml:space="preserve"> renty + příjmy ze samozaměstnávání (příjmy OSVČ)</t>
  </si>
  <si>
    <t>Meziprodukty</t>
  </si>
  <si>
    <t>Důchodová (nákladová) metoda</t>
  </si>
  <si>
    <t>Finální produkce</t>
  </si>
  <si>
    <t xml:space="preserve"> </t>
  </si>
  <si>
    <t>Disponibilní důchod (DI)</t>
  </si>
  <si>
    <t>DI = C + S</t>
  </si>
  <si>
    <t>Důchodová metoda měření sčítá všechny náklady spojené s podnikáním, které jsou zároveň důchody, které domácnosti dostávají (jako majitelé výrobních faktorů) od firem.</t>
  </si>
  <si>
    <t>Osobní důchod (PI)</t>
  </si>
  <si>
    <t xml:space="preserve">PI = NDI – zU – sS – TC + TR </t>
  </si>
  <si>
    <t>Spotřeba domácností (C)</t>
  </si>
  <si>
    <t>+ hrubé mzdy (včetně dalších nákladů na práci, které platí firmy)</t>
  </si>
  <si>
    <t>Úspory domácností (S)</t>
  </si>
  <si>
    <t>+ renty (včetně imputovaných nájmů)</t>
  </si>
  <si>
    <t>Hrubé investice (IG)</t>
  </si>
  <si>
    <t>IG = IN + IR = IN + a</t>
  </si>
  <si>
    <t>+ hrubé zisky korporací (dividendy akcionářů, nerozdělený zisk a daň ze zisku)</t>
  </si>
  <si>
    <t>Čisté investice (IN)</t>
  </si>
  <si>
    <t>IN=IG-a</t>
  </si>
  <si>
    <t>+ čisté úroky (rozdíl mezi přijatými a placenými úroky)</t>
  </si>
  <si>
    <t>Restituční investice (IR)</t>
  </si>
  <si>
    <t>+ příjmy ze samozaměstnání</t>
  </si>
  <si>
    <t>Vládní výdaje (G)</t>
  </si>
  <si>
    <t xml:space="preserve"> =čistý domácí důchod</t>
  </si>
  <si>
    <t>Dovoz (M)</t>
  </si>
  <si>
    <t>+ znehodnocení kapitálu</t>
  </si>
  <si>
    <t>Vývoz (X)</t>
  </si>
  <si>
    <t>+ nepřímé daně</t>
  </si>
  <si>
    <t>Čistý vývoz (NX)</t>
  </si>
  <si>
    <t>NX = X - M</t>
  </si>
  <si>
    <t>- dotace</t>
  </si>
  <si>
    <t>daně</t>
  </si>
  <si>
    <t>Přímé daně (T)</t>
  </si>
  <si>
    <t xml:space="preserve"> =hrubý domácí produkt</t>
  </si>
  <si>
    <t>Nepřímé daně (T0)</t>
  </si>
  <si>
    <t>Amortizace (a)</t>
  </si>
  <si>
    <t>Nerozdělené zisky korporací (zU)</t>
  </si>
  <si>
    <t>Výdajová metoda</t>
  </si>
  <si>
    <t>Příspěvky na sociální zabezpečení (sS)</t>
  </si>
  <si>
    <t>Daně ze zisku korporací (TC)</t>
  </si>
  <si>
    <t>Výdajová metoda sčítá veškeré výdaje v ekonomice po jednotlivých sektorech - domácnosti, firmy, stát a zahraniční obchod.</t>
  </si>
  <si>
    <t>Transferové platby (TR)</t>
  </si>
  <si>
    <t>Alternativní ukazatele ekonomické aktivity</t>
  </si>
  <si>
    <t>HDI, BLI</t>
  </si>
  <si>
    <t>C ... výdaje domácnosti na konečnou spotřebu, I ... hrubé investiční výdaje firem, G ... vládní výdaje na nákup výrobků a služeb, NX ... čistý export zboží a služeb</t>
  </si>
  <si>
    <t>Ukázkový příklad</t>
  </si>
  <si>
    <t>Produkční metoda</t>
  </si>
  <si>
    <r>
      <t xml:space="preserve">Produkční metoda měření sčítá hodnotu finální výrobků a služeb vyrobených v běžném roce. Do výpočtu se nezahrnuje hodnota tzv. </t>
    </r>
    <r>
      <rPr>
        <b/>
        <sz val="11"/>
        <color theme="1"/>
        <rFont val="Calibri"/>
        <family val="2"/>
        <charset val="238"/>
        <scheme val="minor"/>
      </rPr>
      <t>meziproduktů</t>
    </r>
    <r>
      <rPr>
        <sz val="11"/>
        <color theme="1"/>
        <rFont val="Calibri"/>
        <family val="2"/>
        <charset val="238"/>
        <scheme val="minor"/>
      </rPr>
      <t xml:space="preserve">. Meziprodukty jsou statky, které se používají k výrobě jiných statků. Aby nedošlo k dvojímu započítávání některých produktů je HDP dáno součtem </t>
    </r>
    <r>
      <rPr>
        <b/>
        <sz val="11"/>
        <color theme="1"/>
        <rFont val="Calibri"/>
        <family val="2"/>
        <charset val="238"/>
        <scheme val="minor"/>
      </rPr>
      <t>přidané hodnoty</t>
    </r>
    <r>
      <rPr>
        <sz val="11"/>
        <color theme="1"/>
        <rFont val="Calibri"/>
        <family val="2"/>
        <charset val="238"/>
        <scheme val="minor"/>
      </rPr>
      <t xml:space="preserve"> na každém stupni rozpracovanosti.</t>
    </r>
  </si>
  <si>
    <t>HDP=C+Ig+G+NX</t>
  </si>
  <si>
    <t>NXFI</t>
  </si>
  <si>
    <t>NX=X-M</t>
  </si>
  <si>
    <t>Řešení</t>
  </si>
  <si>
    <t>mil. Kč</t>
  </si>
  <si>
    <t>NDI = GDP - T0 - IR(a)</t>
  </si>
  <si>
    <t>NDI</t>
  </si>
  <si>
    <t>S</t>
  </si>
  <si>
    <t>Krátké příklady k procvičení</t>
  </si>
  <si>
    <t>cvičebnica</t>
  </si>
  <si>
    <r>
      <t>1.</t>
    </r>
    <r>
      <rPr>
        <sz val="7"/>
        <color rgb="FF000000"/>
        <rFont val="Times New Roman"/>
        <family val="1"/>
        <charset val="238"/>
      </rPr>
      <t xml:space="preserve">    </t>
    </r>
    <r>
      <rPr>
        <sz val="10"/>
        <color theme="1"/>
        <rFont val="Times New Roman"/>
        <family val="1"/>
        <charset val="238"/>
      </rPr>
      <t>Pokud by hrubý národní produkt České republiky činil 4 235 mld. Kč a hrubý domácí produkt činil 4 150 mld. Kč, co můžete na základě těchto údajů říci o České republice?</t>
    </r>
  </si>
  <si>
    <t>HNP vs. HDP</t>
  </si>
  <si>
    <t>Nepřímé daně</t>
  </si>
  <si>
    <t>Odvětví</t>
  </si>
  <si>
    <t>Spotřebované meziprodukty</t>
  </si>
  <si>
    <t>Hodnota výstupu odvětví</t>
  </si>
  <si>
    <t>Těžební průmysl</t>
  </si>
  <si>
    <t xml:space="preserve"> -</t>
  </si>
  <si>
    <t>Železárny</t>
  </si>
  <si>
    <t>Automobilka</t>
  </si>
  <si>
    <t>Obchod</t>
  </si>
  <si>
    <t>přidaná hodnota - celkem</t>
  </si>
  <si>
    <t>GDP</t>
  </si>
  <si>
    <t>C</t>
  </si>
  <si>
    <t>I</t>
  </si>
  <si>
    <t>G</t>
  </si>
  <si>
    <t>NX</t>
  </si>
  <si>
    <t>a</t>
  </si>
  <si>
    <t>NDP</t>
  </si>
  <si>
    <t>zadania cvičenia</t>
  </si>
  <si>
    <t>2.5 Na základě údajů z tabulky (uvedených v mld. peněžních jednotek) vypočtěte:</t>
  </si>
  <si>
    <t>2.6 Jsou zadány následující údaje hypotetické ekonomiky.</t>
  </si>
  <si>
    <t>a) hodnotu čistého exportu</t>
  </si>
  <si>
    <t>a) Vypočtěte velikost HDP.</t>
  </si>
  <si>
    <t>b) hodnotu HDP výdajovou metodou</t>
  </si>
  <si>
    <t>b) Vypočtěte velikost domácího důchodu.</t>
  </si>
  <si>
    <t>c) hodnotu HDP důchodovou metodou</t>
  </si>
  <si>
    <t>Položka (mil. korun)</t>
  </si>
  <si>
    <t>d) hodnotu čistého domácího produktu</t>
  </si>
  <si>
    <t>e) hodnotu domácího důchodu.</t>
  </si>
  <si>
    <t>Spotřební výdaje</t>
  </si>
  <si>
    <t>Metoda výdajová</t>
  </si>
  <si>
    <t>Metoda důchodová</t>
  </si>
  <si>
    <t>a)</t>
  </si>
  <si>
    <t>Státní výdaje na nákup zboží a služeb</t>
  </si>
  <si>
    <t>spotřební výdaje domácností</t>
  </si>
  <si>
    <t>mzdy</t>
  </si>
  <si>
    <t>Hrubé domácí investice</t>
  </si>
  <si>
    <t>investiční výdaje firem</t>
  </si>
  <si>
    <t>zisky</t>
  </si>
  <si>
    <t>b)</t>
  </si>
  <si>
    <t>vládní výdaje</t>
  </si>
  <si>
    <t>úroky</t>
  </si>
  <si>
    <t>Export zboží a služeb</t>
  </si>
  <si>
    <t>z GDP</t>
  </si>
  <si>
    <t>z NDP</t>
  </si>
  <si>
    <t>vývoz</t>
  </si>
  <si>
    <t>renty</t>
  </si>
  <si>
    <t>dovoz</t>
  </si>
  <si>
    <t>příjmy ze samozaměstnání (OSVČ)</t>
  </si>
  <si>
    <t>Import zboží a služeb</t>
  </si>
  <si>
    <t>čistý export</t>
  </si>
  <si>
    <t>nepřímé daně</t>
  </si>
  <si>
    <t>HDP</t>
  </si>
  <si>
    <t>amortizace</t>
  </si>
  <si>
    <t>Dotace firmám</t>
  </si>
  <si>
    <t>transfer</t>
  </si>
  <si>
    <t>Amortizace (kapitálová spotřeba)</t>
  </si>
  <si>
    <t>2.7 Předpokládejte, že existuje ekonomika, která produkuje jen banány. Cena jednoho kilogramu banánů v roce 2017 činila 15 korun a bylo celkem vyprodukováno 250 tun banánů. V roce 2018 bylo vyprodukováno 270 tun banánů, které se prodaly za 16 korun za kilogram.</t>
  </si>
  <si>
    <t>a) Určete hodnotu nominálního produktu v roce 2017 a v roce 2018.</t>
  </si>
  <si>
    <t>b) Kolik činí hodnota reálného produktu v roce 2018, pokud rok 2017 je rokem výchozím?</t>
  </si>
  <si>
    <t>P</t>
  </si>
  <si>
    <t>HDPnom</t>
  </si>
  <si>
    <t>HDPreal</t>
  </si>
  <si>
    <t>změna</t>
  </si>
  <si>
    <t>míra růstu</t>
  </si>
  <si>
    <t>%</t>
  </si>
  <si>
    <t>pozor</t>
  </si>
  <si>
    <t>změna nom HDP</t>
  </si>
  <si>
    <t>změna ceny</t>
  </si>
  <si>
    <t>změna real. produkcie</t>
  </si>
  <si>
    <t>NX=HDP-C-Ig-G</t>
  </si>
  <si>
    <t>2.8 Pokud znáte údaje: HDP = 6000, hrubé investice = 800, čisté investice = 200, spotřební výdaje domácností = 4000, vládní výdaje na zboží a služby = 1100, vypočtěte:</t>
  </si>
  <si>
    <t>a) hodnotu čistého domácího produktu</t>
  </si>
  <si>
    <t>HDP bez NX (C+I+G)</t>
  </si>
  <si>
    <t>b) čistého exportu.</t>
  </si>
  <si>
    <t>2.9 Vypočtěte konečnou (finální) hodnotu automobilu (která je součástí HDP určité země), jestliže se na jeho výrobě podílejí 4 odvětví (těžební průmysl částkou 25 000 Kč, železárny částkou 62 000 Kč, automobilka částkou 145 000 Kč a obchod částkou 65 000 Kč). K výpočtu použijte výrobní (neboli produkční, či odvětvovou) metodu.</t>
  </si>
  <si>
    <t>2.10 Ekonomika farmářů produkuje ročně 100 tun obilí. Z nich se 87 tun spotřebuje, 10 tun jde na vládní nákupy jako obživa pro armádu, 6 tun jsou přírůstky zásob (projeví se to v domácích investicích), 4 tuny se vyvezou a 7 tun se doveze.</t>
  </si>
  <si>
    <t>Sestavte soubor národních účtů za předpokladu, že 1 tuna obilí stojí 5000 korun, neexistuje znehodnocení (amortizace) kapitálu, mzdy tvoří 75 % domácího produktu, nepřímé daně se používají k financování vládních výdajů a zbytek důchodu dostanou jako rentu farmáři.</t>
  </si>
  <si>
    <t>Postupujte výdajovou i důchodovou metodou.</t>
  </si>
  <si>
    <t>w</t>
  </si>
  <si>
    <t>r</t>
  </si>
  <si>
    <t>X</t>
  </si>
  <si>
    <t>M</t>
  </si>
  <si>
    <t>T0</t>
  </si>
  <si>
    <t>10.    Předpokládejte, že hodnota čistých investic (IN) v ekonomice je 40 mld. Kč, výše spotřeby domácností (C) je 240 mld. Kč, vládní výdaje v ekonomice (G) mají hodnotu 50 mld. Kč, hodnota čistého exportu (NX) je 8 mld. Kč, velikost amortizace (a) je 5 mld. Kč a mzdy činí 12 mld. Kč.</t>
  </si>
  <si>
    <t>a)    Vypočtěte hodnotu hrubých investic.</t>
  </si>
  <si>
    <t>IN</t>
  </si>
  <si>
    <t>b)   Kolik činí velikost hrubého domácího produktu?</t>
  </si>
  <si>
    <t xml:space="preserve">c)    Jaká je výše čistého domácího produktu? </t>
  </si>
  <si>
    <t>11.    Předpokládejte, že hrubé investice (IG)v ekonomice jsou ve výši 248 mld. Kč, hrubý domácí produkt (GDP) ekonomiky činí 2240 mld. Kč, vládní výdaje (G) jsou ve výši 540 mld. Kč, a hodnota vývozu (X) je 1950 mld. Kč, amortizace (a) v dané ekonomice je ve výši 60 mld. Kč.</t>
  </si>
  <si>
    <t>a)    Kolik bude činit hodnota dovozu (M), pokud víte, že čistý export v dané ekonomice je ve výši -150 mld. Kč?</t>
  </si>
  <si>
    <t>IG</t>
  </si>
  <si>
    <t>b)   Pokud platí vše výše uvedené, vypočítejte hodnotu spotřeby domácností.</t>
  </si>
  <si>
    <t>c)    Jaká bude v této ekonomice hodnota čistého domácího produktu?</t>
  </si>
  <si>
    <t>12.    Předpokládejte, že mzdy ve fiktivní ekonomice činí 600 mld. Kč, renty 280 mld. Kč, čisté úroky jsou ve výši 50 mld. Kč, zisky korporací činí 20 mld. Kč, příjmy ze samozaměstnávání 115 mld. Kč, hrubé investice jsou 300 mld. Kč, čisté investice 250 mld. Kč, nepřímé daně 120 mld. Kč a spotřební výdaje domácností jsou ve výši 550 mld. Kč.</t>
  </si>
  <si>
    <t>a)    Kolik činí velikost čistého domácího důchod dané ekonomiky?</t>
  </si>
  <si>
    <t>b)   Jakou metodu použijete pro výpočet GDP?</t>
  </si>
  <si>
    <t>c)    Jak velký bude GDP dané ekonomiky?</t>
  </si>
  <si>
    <t>i</t>
  </si>
  <si>
    <t>d)   Jaké výše dosáhne v dané ekonomice hodnota amortizace?</t>
  </si>
  <si>
    <t>z</t>
  </si>
  <si>
    <t>si</t>
  </si>
  <si>
    <t>To</t>
  </si>
  <si>
    <t>13.    Představte si zjednodušenou ekonomiku, která produkuje jen dva statky – kukuřici a obilí. V prvním roce bylo vyprodukováno celkem 320 tun kukuřice a 190 tun obilí, přičemž cena jednoho kilogramu kukuřice byla 2 koruny a cena jednoho kilogramu obilí byla 3,50 koruny. V druhém roce bylo vypěstováno celkem 308 tun kukuřice a 208 tun obilí. Přičemž cena kukuřice se zvýšila o 20 % oproti předchozímu roku a cena obilí poklesla na 3,10 koruny za kg.</t>
  </si>
  <si>
    <t>a)    Vypočítejte výši nominálního GDP v prvním i druhém roce.</t>
  </si>
  <si>
    <t>1.</t>
  </si>
  <si>
    <t>b)   Vypočítejte, o kolik procent vzrostl nominální GDP mezi prvním a druhým rokem.</t>
  </si>
  <si>
    <t>c)    Vypočítejte výši reálného GDP v prvním i druhém roce, přičemž výchozím obdobím je první rok.</t>
  </si>
  <si>
    <t>d)   Vypočítejte reálný růst ekonomiky v procentech změny GDP mezi prvním a druhým rokem.</t>
  </si>
  <si>
    <t>2.</t>
  </si>
  <si>
    <t>KUKURICA</t>
  </si>
  <si>
    <t>OBILIE</t>
  </si>
  <si>
    <t>GDP1</t>
  </si>
  <si>
    <t>GDP2</t>
  </si>
  <si>
    <t>GDP2REÁLNY</t>
  </si>
  <si>
    <t>Q</t>
  </si>
  <si>
    <t>p</t>
  </si>
  <si>
    <t>Výdaje vládních institucí na konečnou spotřebu</t>
  </si>
  <si>
    <t>Tvorba hrubého fixního kapitálu</t>
  </si>
  <si>
    <t>Výdaje domácností na konečnou spotřebu (ceny roku 2015)</t>
  </si>
  <si>
    <t xml:space="preserve"> Změny zásob - odvětvová struktura (běžné ceny)</t>
  </si>
  <si>
    <t>max</t>
  </si>
  <si>
    <t>Vývoz zboží a služeb &lt;sup&gt;1)&lt;/sup&gt;</t>
  </si>
  <si>
    <t>Dovoz zboží a služeb &lt;sup&gt;2)&lt;/sup&gt;</t>
  </si>
  <si>
    <t>M000101c HDP výrobní metodou (ceny roku 2015)</t>
  </si>
  <si>
    <t>Název</t>
  </si>
  <si>
    <t>Produkce</t>
  </si>
  <si>
    <t>Mezispotřeba</t>
  </si>
  <si>
    <t>Hrubá přidaná hodnota</t>
  </si>
  <si>
    <t>Daně na výrobky</t>
  </si>
  <si>
    <t>Dotace na výrobky  (-)</t>
  </si>
  <si>
    <t>Hrubý domácí produkt</t>
  </si>
  <si>
    <t>(c) Český statistický úřad, 13/02/2021 21:18:37</t>
  </si>
  <si>
    <t>Oficiálne cvičenie</t>
  </si>
  <si>
    <t>Vypočtěte velikost investičního multiplikátoru, znáte-li velikost:</t>
  </si>
  <si>
    <t>a) mpc = 0,91;</t>
  </si>
  <si>
    <t>mps</t>
  </si>
  <si>
    <t>Y=C+S</t>
  </si>
  <si>
    <t>AE=C+I</t>
  </si>
  <si>
    <t>b) mps = 0,07.</t>
  </si>
  <si>
    <t>mpc</t>
  </si>
  <si>
    <t>změna Y=</t>
  </si>
  <si>
    <t>k*zmenaAE</t>
  </si>
  <si>
    <t xml:space="preserve">Hodnota autonomní spotřeby v dané ekonomice je 1200 mld. korun, plánované investice jsou ve výši 600 mld. korun, spotřeba vlády je 800 mld. korun a hodnota exportu 400 mld. korun. Dále víte, že mezní sklon ke spotřebě mpc = 0,75, mezní sklon k dovozu mpm = 0,15. </t>
  </si>
  <si>
    <t>S=I</t>
  </si>
  <si>
    <t>a)    Napište rovnici spotřební funkce této ekonomiky.</t>
  </si>
  <si>
    <t>b)   Vypočítejte hodnotu rovnovážného produktu.</t>
  </si>
  <si>
    <t>c)    Sestrojte graf dovozu, vývozu a čistého exportu i s přesnými číselnými údaji.</t>
  </si>
  <si>
    <t>3.2 V modelové ekonomice je dána spotřební funkce C = 0,8Y a investice jsou autonomní ve výši 20 mld. korun. Najděte rovnovážnou úroveň důchodu v této dvousektorové ekonomice. Jaká bude při tomto rovnovážném důchodu YE velikost spotřeby C?</t>
  </si>
  <si>
    <t xml:space="preserve">d)   Pokud by byl důchod ve výši 6 000 mld. Kč, vypočítejte hodnotu čistého exportu.  </t>
  </si>
  <si>
    <t>Y=AE</t>
  </si>
  <si>
    <t>C =  0,8*Y</t>
  </si>
  <si>
    <t>I=20</t>
  </si>
  <si>
    <t>e)    Jakou změnu rovnovážného produktu vyvolá nárůst o 100 miliard korun u níže uvedených autonomních výdajů?</t>
  </si>
  <si>
    <t>Y = 20 + 0,8*Y</t>
  </si>
  <si>
    <t>Y=</t>
  </si>
  <si>
    <t>C=</t>
  </si>
  <si>
    <t>                     i.        Soukromých investic,</t>
  </si>
  <si>
    <t>3.3 Předpokládejme, že se investice v ekonomice z příkladu 3.2 zvýší z 20 na 22 mld. korun. Vypočtěte novou rovnovážnou úroveň důchodu YE2.</t>
  </si>
  <si>
    <t>                   ii.        vládních výdajů na nákup výrobků a služeb,</t>
  </si>
  <si>
    <t>k</t>
  </si>
  <si>
    <t>I=22</t>
  </si>
  <si>
    <t>                  iii.        transferů,</t>
  </si>
  <si>
    <t>Y = 22 + 0,8*Y</t>
  </si>
  <si>
    <t>S=</t>
  </si>
  <si>
    <t>                  iv.        daní,</t>
  </si>
  <si>
    <t>3.4 Předpokládejme, že v ekonomice popsané v příkladu 3.2 se mezní sklon ke spotřebě zvýší z 0,8 na 0,85. Jestliže plánované autonomní investiční výdaje budou 20 mld., jaká bude nová rovnovážná úroveň důchodu YE3 a nová úroveň spotřeby C3 při tomto rovnovážném důchodu?</t>
  </si>
  <si>
    <t xml:space="preserve">                    v.        exportu. </t>
  </si>
  <si>
    <t>C =  0,85*Y</t>
  </si>
  <si>
    <t>Y = 20 + 0,85*Y</t>
  </si>
  <si>
    <t>C0=1200</t>
  </si>
  <si>
    <t>I0=600</t>
  </si>
  <si>
    <t>G=800</t>
  </si>
  <si>
    <t>X=400</t>
  </si>
  <si>
    <t>3.5 Jestliže spotřební výdaje C = 0,75*Y a autonomní investice jsou 5 mld., vypočtěte</t>
  </si>
  <si>
    <t>a) hodnotu investičního multiplikátoru k</t>
  </si>
  <si>
    <t>a)    Spotřební funkce je vyjádřením závislosti spotřeby domácností na disponibilním důchodu v dané ekonomice. Tato spotřeba se skládá z autonomní spotřeby (C0), která je nezávislá na velikosti důchodů (tj. taková spotřeba, kterou má každá domácnost v pravidelně se opakujících intervalech, např. nájemné, zálohy na energie, faktura za telefon, základní potraviny apod.) a z indukované spotřeby (CI), která je závislá na velikosti důchodu (tzn., že s rostoucím důchodem domácnosti roste i tato spotřeba – např. výdaje za návštěvu kina, restaurace, fit centra, nákupy zahraniční dovolené apod.).</t>
  </si>
  <si>
    <t>b) změnu reálného důchodu ΔY způsobenou zvýšením investic o ΔI = 1 mld.</t>
  </si>
  <si>
    <t>C = C0 + CI = C0 + mpc·Y</t>
  </si>
  <si>
    <t>c) novou úroveň rovnovážného důchodu YE.</t>
  </si>
  <si>
    <t>C = 1200 + 0,75·Y</t>
  </si>
  <si>
    <t>AE=0,75*Y+5</t>
  </si>
  <si>
    <t xml:space="preserve">ΔY </t>
  </si>
  <si>
    <t>Spotřební funkce domácností má tvar C = 1200 + 0,75Y.</t>
  </si>
  <si>
    <t>b)    Hodnota rovnovážného důchodu je v keynesiánském výdajovém modelu s multiplikátorem určena rovnováhou agregátních výdajů a důchodu domácností. Agregátní výdaje jsou dány vždy součtem všech výdajů v dané ekonomice. Pokud se jedná o dvousektorovou ekonomiku, jsou tyto výdaje reprezentovány výdaji domácností a investičními výdaji firem. V třísektorové ekonomice se přidávají také výdaje vlády a v čtyřsektorové ekonomice se započítává i čistý export, který vypočítáme jako export mínus import. Rovnováhu ekonomiky popisuje v grafickém vyjádření bod, kdy AE = Y. Tyto rovnovážné body leží na linii svírající s osami grafu úhel 45 stupňů.</t>
  </si>
  <si>
    <t>Y</t>
  </si>
  <si>
    <t xml:space="preserve"> Y = AE</t>
  </si>
  <si>
    <t>AE</t>
  </si>
  <si>
    <t xml:space="preserve"> Y = C + I + G + NX</t>
  </si>
  <si>
    <t>3.6 Spotřební funkce je dána rovnicí C = 10 + 0,8Y. Investiční výdaje jsou autonomní ve výši 20 mld. korun.</t>
  </si>
  <si>
    <t>AE=Y</t>
  </si>
  <si>
    <t>AE1</t>
  </si>
  <si>
    <t>AE2</t>
  </si>
  <si>
    <t xml:space="preserve"> Y = C0 + mpc·Y + I0+ G0 + (X – mpm·Y)</t>
  </si>
  <si>
    <t>a) Nakreslete křivku agregátních výdajů ve výdajovém modelu.</t>
  </si>
  <si>
    <t xml:space="preserve"> Y = 1200 + 0,75·Y + 600 + 800 + 400 – 0,15·Y</t>
  </si>
  <si>
    <t>b) Určete hodnotu rovnovážného důchodu YE.</t>
  </si>
  <si>
    <t xml:space="preserve">  Y – 0,75·Y + 0,15·Y = 3000</t>
  </si>
  <si>
    <t>c) Jaký je sklon křivky agregátních výdajů a její počátek na svislé ose?</t>
  </si>
  <si>
    <t xml:space="preserve">  0,4·Y = 3000</t>
  </si>
  <si>
    <t>d) Jestliže autonomní spotřeba poklesne na 6 mld. korun, k jaké změně dojde u křivky AE (posune se, změní se sklon)?</t>
  </si>
  <si>
    <t xml:space="preserve"> Y = 7 500 mld. korun</t>
  </si>
  <si>
    <t>C=C0+C1</t>
  </si>
  <si>
    <t>Hodnota rovnovážného důchodu v této ekonomice je ve výši 7 500 mld. korun.</t>
  </si>
  <si>
    <t>C = 10 + 0,8*Y</t>
  </si>
  <si>
    <t>c)    Jak již bylo výše naznačeno, čistý export vypočítáme jako export mínus import, přičemž export považujeme za autonomní veličinu (nezávislou na velikosti domácího důchodu), proto bude křivka exportu horizontální. Naopak hodnota importu je závislá na velikosti důchodu, tzn., že s rostoucím důchodem poroste i hodnota výdajů použitých na importované výrobky (proto bude křivka importu rostoucí lineární křivkou). Sklon křivky importu pak bude určen velikostí mezního sklonu k importu a velikostí důchodu – tj. mpm.Y. Křivku čistého exportu poté získáme odečtením hodnoty importu od hodnoty exportu.</t>
  </si>
  <si>
    <t>Y=30+0,8*Y</t>
  </si>
  <si>
    <t>0,2*Y=</t>
  </si>
  <si>
    <t>AE=30+0,8*Y</t>
  </si>
  <si>
    <t>Y=C</t>
  </si>
  <si>
    <t>y=a+b*x</t>
  </si>
  <si>
    <t>k=</t>
  </si>
  <si>
    <t>NX=X – mpm·Y</t>
  </si>
  <si>
    <t>NX=0</t>
  </si>
  <si>
    <t>NX=400 – 0,15·Y</t>
  </si>
  <si>
    <t>C = 6 + 0,8*Y</t>
  </si>
  <si>
    <t xml:space="preserve">Za export doplníme konkrétní hodnotu </t>
  </si>
  <si>
    <t>ve výši 400 mld. Kč. Za import konkrétní</t>
  </si>
  <si>
    <t>NX=</t>
  </si>
  <si>
    <t>Y=26+0,8*Y</t>
  </si>
  <si>
    <t>hodnotu nelze doplnit, neboť neznáme</t>
  </si>
  <si>
    <t>velikost důchodu, proto lze doplnit 0,15·Y.</t>
  </si>
  <si>
    <t>Poslední hodnotu, kterou lze dopočítat je</t>
  </si>
  <si>
    <t>hodnota, kdy čistý export bude nulový,</t>
  </si>
  <si>
    <t>tzn., hodnota exportu se rovná hodnotě</t>
  </si>
  <si>
    <t xml:space="preserve">importu. </t>
  </si>
  <si>
    <t>EX = IM</t>
  </si>
  <si>
    <t>400 = 0,15·Y</t>
  </si>
  <si>
    <t xml:space="preserve">Y  ≐ 2 667 mld. korun </t>
  </si>
  <si>
    <t>d)    V případě, že známe hodnotu důchodu, lze dopočítat velikost importu a tím také zjistíme hodnotu čistého exportu, protože velikost export se s velikostí důchodu nemění (export bude stále ve výši 400 mld. korun).</t>
  </si>
  <si>
    <t>NX = X – M</t>
  </si>
  <si>
    <t>NX = X – mpm.Y</t>
  </si>
  <si>
    <t>NX = 400 – 0,15·6000</t>
  </si>
  <si>
    <t>NX = -500 mld. korun</t>
  </si>
  <si>
    <t>Velikost čistého exportu za předpokladu, že důchod je ve výši 6000 mld. korun, bude -500 mld. korun. Tzn., že do dané země se doveze zboží ve vyšší hodnotě, než se z ní vyveze.</t>
  </si>
  <si>
    <t>e)    Zvýšení některého z výdajů se projeví několikanásobně na velikosti celkového důchodu. Je to dáno tím, že jakýkoliv výdaj se vždy v omezené výši dostane dále do spotřeby. Např. když vláda investuje do stavby silnice, obdržené prostředky stavební firma využije na platy zaměstnanců, popř. na nákup materiálu. Takto utracené prostředky zase použijí dodavatelské firmy, které inkasovaly prostředky za dodaný materiál, na další nákupy atd. Velikost každé další spotřeby je pak snížena o částku determinovanou velikostí mezního sklonu k úsporám, neboť subjekty v ekonomice v průměru část inkasovaných prostředků odkládají v podobě úspor – tím pádem se takto odložené prostředky nedostanou do tzv. výdajového řetězce.</t>
  </si>
  <si>
    <t xml:space="preserve">Výpočet vlivu jednotlivých výdajů na reálný důchod pak získáme, když každý výdaj vynásobíme příslušným multiplikátorem.  </t>
  </si>
  <si>
    <t xml:space="preserve">             i.        ΔY = k·ΔI = 1/(1-mpc)·ΔI =  1/(1-0,75)·100=4·100 = 400 miliard korun;  </t>
  </si>
  <si>
    <t xml:space="preserve">            ii.        ΔY = k·ΔG = 1/(1-mpc)·ΔG = 1/(1-0,75)·100=4·100 = 400 miliard korun; </t>
  </si>
  <si>
    <t xml:space="preserve">          iii.        ΔY = k·ΔTR = mpc/(1-mpc)·ΔTR = (0,75/0,25)·100 = 3·100 = 300 miliard korun; </t>
  </si>
  <si>
    <t xml:space="preserve">          iv.        ΔY = k·ΔT = -mpc/(1-mpc)·ΔT = -(0,75/0,25)·100 = -3·100 = -300 miliard korun; </t>
  </si>
  <si>
    <t xml:space="preserve">            v.        ΔY = k·ΔX = 1/(1-mpc+mpm)·ΔX = 1/(0,25+0,1) ·100 = 2,857·100 = </t>
  </si>
  <si>
    <t>= 285,7 miliard korun.</t>
  </si>
  <si>
    <t>Největší vliv na celkový důchod budou mít investiční výdaje a vládní výdaje. Všechny ostatní výdaje budou mít menší multiplikovaný efekt.</t>
  </si>
  <si>
    <t xml:space="preserve">1.    Fiktivní ekonomika je popsána následujícími funkcemi: </t>
  </si>
  <si>
    <t>Čistý export NX = 20 - 0,1·Y, spotřeba domácností C = 20 + 0,75·(1 – t)·Y, autonomní investice I = 25 a vládní výdaje G = 15.</t>
  </si>
  <si>
    <t>a)    Napište rovnici spotřební funkce.</t>
  </si>
  <si>
    <t>YD=Y-T+TR</t>
  </si>
  <si>
    <t>Jestliže vláda hodlá zachovat vyrovnanou úroveň běžného účtu platební bilance (NX = 0), jakou sazbu důchodové daně by měla uzákonit?</t>
  </si>
  <si>
    <t xml:space="preserve">b)   Jaká je úroveň rovnovážného důchodu (Y1)? </t>
  </si>
  <si>
    <t xml:space="preserve">c)    O kolik se musejí zvýšit G, aby Y vzrostl o 250 mld. dolarů na Y2? </t>
  </si>
  <si>
    <t>T=T0+T1</t>
  </si>
  <si>
    <t>1/(1-mpc*(1-t)+mpm)</t>
  </si>
  <si>
    <t xml:space="preserve">d)   Pokud vláda vámi vypočtené zvýšení G kryje zvýšením paušálních (autonomních) daní o stejnou částku, aby zachovala vyrovnaný státní rozpočet, jaká bude výsledná úroveň důchodu (Y3)? </t>
  </si>
  <si>
    <t>T=T0+t.Y</t>
  </si>
  <si>
    <t>AE=C+I+G+NX</t>
  </si>
  <si>
    <t>3.7 Hodnota rovnovážného důchodu je 3000 mld. peněžních jednotek, mezní sklon ke spotřebě mpc = 0,75 a mezní sklon k dovozu mpm = 0,1.</t>
  </si>
  <si>
    <t>20+0,75*(1-t)*Y+25+15+20-0,1*Y</t>
  </si>
  <si>
    <t>C=200+0,7*Y</t>
  </si>
  <si>
    <t>Jakou změnu rovnovážného důchodu Y způsobí zvýšení níže uvedených složek agregátních výdajů o 100 mld.?</t>
  </si>
  <si>
    <t>Y*(0,75*(1-t)-0,1))</t>
  </si>
  <si>
    <t>0,75-0,75*t-0,1</t>
  </si>
  <si>
    <t>200+0,7*Y+90+65</t>
  </si>
  <si>
    <t>BS=T-TR-G</t>
  </si>
  <si>
    <t>změna AE=100</t>
  </si>
  <si>
    <t>k v prípade otv. Ekonomiky</t>
  </si>
  <si>
    <t>Y(otvor. Ek)</t>
  </si>
  <si>
    <t>Y(uzavret. Ek)</t>
  </si>
  <si>
    <t>80+</t>
  </si>
  <si>
    <t xml:space="preserve"> = ((0,75-0,1)</t>
  </si>
  <si>
    <t xml:space="preserve">  -0,75*t)</t>
  </si>
  <si>
    <t>*Y</t>
  </si>
  <si>
    <t>a) autonomních investic</t>
  </si>
  <si>
    <t>Y-0,7*Y</t>
  </si>
  <si>
    <t>b) vládních výdajů na výrobky a služby</t>
  </si>
  <si>
    <t>ko=</t>
  </si>
  <si>
    <t xml:space="preserve"> = (0,75-0,1</t>
  </si>
  <si>
    <t>*120</t>
  </si>
  <si>
    <t>Y1</t>
  </si>
  <si>
    <t>ΔBS=ΔT-ΔG=0</t>
  </si>
  <si>
    <t>c) transferů</t>
  </si>
  <si>
    <r>
      <t>k</t>
    </r>
    <r>
      <rPr>
        <b/>
        <vertAlign val="subscript"/>
        <sz val="11"/>
        <color theme="1"/>
        <rFont val="Times New Roman"/>
        <family val="1"/>
        <charset val="238"/>
      </rPr>
      <t>TR</t>
    </r>
    <r>
      <rPr>
        <b/>
        <sz val="11"/>
        <color theme="1"/>
        <rFont val="Times New Roman"/>
        <family val="1"/>
        <charset val="238"/>
      </rPr>
      <t xml:space="preserve"> = </t>
    </r>
  </si>
  <si>
    <r>
      <t>k</t>
    </r>
    <r>
      <rPr>
        <vertAlign val="subscript"/>
        <sz val="10"/>
        <color theme="1"/>
        <rFont val="Times New Roman"/>
        <family val="1"/>
        <charset val="238"/>
      </rPr>
      <t>TO</t>
    </r>
    <r>
      <rPr>
        <sz val="10"/>
        <color theme="1"/>
        <rFont val="Times New Roman"/>
        <family val="1"/>
        <charset val="238"/>
      </rPr>
      <t xml:space="preserve"> = - </t>
    </r>
  </si>
  <si>
    <t>Y2</t>
  </si>
  <si>
    <t>d) autonomních daní</t>
  </si>
  <si>
    <r>
      <t>k</t>
    </r>
    <r>
      <rPr>
        <b/>
        <vertAlign val="subscript"/>
        <sz val="10"/>
        <color theme="1"/>
        <rFont val="Times New Roman"/>
        <family val="1"/>
        <charset val="238"/>
      </rPr>
      <t>TO</t>
    </r>
    <r>
      <rPr>
        <b/>
        <sz val="10"/>
        <color theme="1"/>
        <rFont val="Times New Roman"/>
        <family val="1"/>
        <charset val="238"/>
      </rPr>
      <t xml:space="preserve"> = </t>
    </r>
  </si>
  <si>
    <t>t</t>
  </si>
  <si>
    <t>ΔY=</t>
  </si>
  <si>
    <t>1/(1-mpc)*ΔG</t>
  </si>
  <si>
    <t xml:space="preserve"> -mpc/(1-mpc)*ΔT</t>
  </si>
  <si>
    <t>e) exportu.</t>
  </si>
  <si>
    <t>kX=</t>
  </si>
  <si>
    <t>změnaY</t>
  </si>
  <si>
    <t>s otvor. ek.</t>
  </si>
  <si>
    <t>s uzavr.ek</t>
  </si>
  <si>
    <t>250=</t>
  </si>
  <si>
    <t>ΔT=ΔG</t>
  </si>
  <si>
    <t>3.8 Modelová ekonomika je popsána spotřební funkcí C = 0,9Y + 2000 mil., vládní výdaje na výrobky a služby (G) jsou ve výši 700 mil., investice soukromých firem (I) dosahují 1000 mil., ekonomika vyváží (X) ročně zboží za 500 mil. Dovoz (M) závisí přímo úměrně na důchodu (Y) a připadá na něj 20 % z důchodu.</t>
  </si>
  <si>
    <t>a) Sestrojte graf dovozu, vývozu a čistého exportu (NX) i s přesnými číselnými údaji.</t>
  </si>
  <si>
    <t>b) Jak velké je saldo zahraničního obchodu (tj. čistý export), když důchod Y = 3000 mil.?</t>
  </si>
  <si>
    <t>M=M0+M1</t>
  </si>
  <si>
    <t>M1=mpm*Y</t>
  </si>
  <si>
    <t>c) Vypočtěte úroveň rovnovážného důchodu YE této modelové ekonomiky.</t>
  </si>
  <si>
    <t>d) O kolik se změní YE, vzroste-li vývoz o 30 mil.?</t>
  </si>
  <si>
    <t xml:space="preserve">C = </t>
  </si>
  <si>
    <t>0,9*Y + 2000 mil</t>
  </si>
  <si>
    <t>0,2*Y</t>
  </si>
  <si>
    <r>
      <t>AE</t>
    </r>
    <r>
      <rPr>
        <sz val="8"/>
        <color theme="1"/>
        <rFont val="Calibri"/>
        <family val="2"/>
        <charset val="238"/>
        <scheme val="minor"/>
      </rPr>
      <t>0</t>
    </r>
  </si>
  <si>
    <t>4200+</t>
  </si>
  <si>
    <t>(0,9-0,2)*Y</t>
  </si>
  <si>
    <t>c)</t>
  </si>
  <si>
    <t>AE0</t>
  </si>
  <si>
    <t>ko</t>
  </si>
  <si>
    <t>3.9 V třísektorové ekonomice je úroveň autonomní spotřeby Co = 200 mld. dolarů, autonomních investic I = 90 mld. dolarů, autonomních vládních výdajů G = 65 mld. dolarů, mezní sklon ke spotřebě mpc = 0,7.</t>
  </si>
  <si>
    <t>d)</t>
  </si>
  <si>
    <t>změna Y</t>
  </si>
  <si>
    <t>a) Napište rovnici spotřební funkce této ekonomiky.</t>
  </si>
  <si>
    <t>ΔY =</t>
  </si>
  <si>
    <t>ΔG* 1/(1-mpc)</t>
  </si>
  <si>
    <t>k=0,7/(1-0,7)</t>
  </si>
  <si>
    <t>b) Vypočtěte úroveň rovnovážného důchodu (Y1).</t>
  </si>
  <si>
    <t>kT0</t>
  </si>
  <si>
    <t>vplyv T0 (záporný)</t>
  </si>
  <si>
    <t>c) O kolik se musejí zvýšit vládní výdaje G, aby rovnovážný důchod Y vzrostl o 250 mld. dolarů na Y2?</t>
  </si>
  <si>
    <t>vplyv G</t>
  </si>
  <si>
    <t>d) Pokud vláda vámi vypočtené zvýšení vládních výdajů kryje zvýšením autonomních daní o stejnou částku, aby zachovala vyrovnaný státní rozpočet, jaká bude výsledná úroveň důchodu (Y3)?</t>
  </si>
  <si>
    <t>zmenaG=zmenaY</t>
  </si>
  <si>
    <t>rozdiel</t>
  </si>
  <si>
    <t>Co</t>
  </si>
  <si>
    <t>Io</t>
  </si>
  <si>
    <t>355+0,7*Y</t>
  </si>
  <si>
    <t>AEo</t>
  </si>
  <si>
    <t>0,3*Y</t>
  </si>
  <si>
    <t>k=1/(1-0,7)</t>
  </si>
  <si>
    <t>*zmenaG</t>
  </si>
  <si>
    <t>3.10 Modelová ekonomika je popsána následujícími údaji: sazba důchodové daně (t) je rovna 25 % z důchodu (Y), transferové platby TR dosahují výše 40 mil. Kč při každé úrovni reálného důchodu, spotřeba (C) činí 80 % z disponibilního důchodu (YD). Investice (I) a vládní výdaje (G) jsou autonomní veličiny ve výši I = 78 mil. Kč, G = 70 mil. Kč.</t>
  </si>
  <si>
    <t>a) Vypočtěte a doplňte do tabulky níže disponibilní důchod YD, spotřební výdaje C, velikost daní (T) a agregátní výdaje (AE) pro uvedené hodnoty reálného důchodu Y.</t>
  </si>
  <si>
    <t>b) Určete úroveň rovnovážného důchodu YE pro tuto modelovou ekonomiku.</t>
  </si>
  <si>
    <t>T</t>
  </si>
  <si>
    <t>TR</t>
  </si>
  <si>
    <t>YD</t>
  </si>
  <si>
    <t>T=To+t*Y</t>
  </si>
  <si>
    <t>t=0,25</t>
  </si>
  <si>
    <t>mpc=0,8</t>
  </si>
  <si>
    <t>AE=Co+mpc*[Y*(1-t)-To+TR]+Io+Go</t>
  </si>
  <si>
    <t>Doplnkové príklady</t>
  </si>
  <si>
    <t>2.    V třísektorové ekonomice je úroveň autonomní spotřeby C0 = 200 mld. dolarů, velikost autonomních investic I = 90 mld. dolarů, autonomních vládních výdajů G = 65 mld. dolarů, mezní sklon ke spotřebě mpc =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</si>
</sst>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0"/>
  </numFmts>
  <fonts count="25"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color theme="5" tint="-0.249977111117893"/>
      <name val="Calibri"/>
      <family val="2"/>
      <charset val="238"/>
      <scheme val="minor"/>
    </font>
    <font>
      <b/>
      <sz val="13.5"/>
      <color theme="1"/>
      <name val="Calibri"/>
      <family val="2"/>
      <charset val="238"/>
      <scheme val="minor"/>
    </font>
    <font>
      <b/>
      <sz val="11"/>
      <color rgb="FFFF0000"/>
      <name val="Calibri"/>
      <family val="2"/>
      <charset val="238"/>
      <scheme val="minor"/>
    </font>
    <font>
      <b/>
      <sz val="14"/>
      <color theme="1"/>
      <name val="Times New Roman"/>
      <family val="1"/>
      <charset val="238"/>
    </font>
    <font>
      <sz val="10"/>
      <color rgb="FF000000"/>
      <name val="Times New Roman"/>
      <family val="1"/>
      <charset val="238"/>
    </font>
    <font>
      <sz val="7"/>
      <color rgb="FF000000"/>
      <name val="Times New Roman"/>
      <family val="1"/>
      <charset val="238"/>
    </font>
    <font>
      <sz val="10"/>
      <color theme="1"/>
      <name val="Times New Roman"/>
      <family val="1"/>
      <charset val="238"/>
    </font>
    <font>
      <b/>
      <sz val="10"/>
      <color rgb="FF000000"/>
      <name val="Times New Roman"/>
      <family val="1"/>
      <charset val="238"/>
    </font>
    <font>
      <b/>
      <sz val="10"/>
      <color theme="1"/>
      <name val="Times New Roman"/>
      <family val="1"/>
      <charset val="238"/>
    </font>
    <font>
      <b/>
      <sz val="10"/>
      <color rgb="FFFF0000"/>
      <name val="Times New Roman"/>
      <family val="1"/>
      <charset val="238"/>
    </font>
    <font>
      <sz val="10"/>
      <color theme="1"/>
      <name val="Calibri"/>
      <family val="2"/>
      <charset val="238"/>
      <scheme val="minor"/>
    </font>
    <font>
      <sz val="14"/>
      <color theme="1"/>
      <name val="Calibri"/>
      <family val="2"/>
      <charset val="238"/>
      <scheme val="minor"/>
    </font>
    <font>
      <b/>
      <sz val="14"/>
      <color theme="1"/>
      <name val="Calibri"/>
      <family val="2"/>
      <charset val="238"/>
      <scheme val="minor"/>
    </font>
    <font>
      <sz val="11"/>
      <color theme="5" tint="-0.249977111117893"/>
      <name val="Calibri"/>
      <family val="2"/>
      <charset val="238"/>
      <scheme val="minor"/>
    </font>
    <font>
      <b/>
      <sz val="11"/>
      <color theme="1"/>
      <name val="Times New Roman"/>
      <family val="1"/>
      <charset val="238"/>
    </font>
    <font>
      <b/>
      <vertAlign val="subscript"/>
      <sz val="11"/>
      <color theme="1"/>
      <name val="Times New Roman"/>
      <family val="1"/>
      <charset val="238"/>
    </font>
    <font>
      <vertAlign val="subscript"/>
      <sz val="10"/>
      <color theme="1"/>
      <name val="Times New Roman"/>
      <family val="1"/>
      <charset val="238"/>
    </font>
    <font>
      <b/>
      <vertAlign val="subscript"/>
      <sz val="10"/>
      <color theme="1"/>
      <name val="Times New Roman"/>
      <family val="1"/>
      <charset val="238"/>
    </font>
    <font>
      <b/>
      <sz val="12"/>
      <color theme="1"/>
      <name val="Calibri"/>
      <family val="2"/>
      <charset val="238"/>
      <scheme val="minor"/>
    </font>
    <font>
      <sz val="8"/>
      <color theme="1"/>
      <name val="Calibri"/>
      <family val="2"/>
      <charset val="238"/>
      <scheme val="minor"/>
    </font>
    <font>
      <b/>
      <sz val="16"/>
      <color theme="1"/>
      <name val="Calibri"/>
      <family val="2"/>
      <charset val="238"/>
      <scheme val="minor"/>
    </font>
    <font>
      <sz val="11"/>
      <color theme="1"/>
      <name val="Calibri"/>
      <family val="2"/>
      <charset val="23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2"/>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27">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0" fillId="0" borderId="3" xfId="0" applyBorder="1"/>
    <xf numFmtId="0" fontId="2" fillId="2" borderId="4" xfId="0" applyFont="1" applyFill="1" applyBorder="1"/>
    <xf numFmtId="0" fontId="2" fillId="2" borderId="5" xfId="0" applyFont="1" applyFill="1" applyBorder="1"/>
    <xf numFmtId="0" fontId="0" fillId="0" borderId="5" xfId="0" applyBorder="1"/>
    <xf numFmtId="0" fontId="0" fillId="0" borderId="6" xfId="0"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0" fillId="0" borderId="1" xfId="0" applyBorder="1"/>
    <xf numFmtId="0" fontId="0" fillId="0" borderId="2" xfId="0" applyBorder="1"/>
    <xf numFmtId="0" fontId="2" fillId="0" borderId="3" xfId="0" applyFont="1" applyBorder="1"/>
    <xf numFmtId="0" fontId="0" fillId="2" borderId="4" xfId="0" applyFill="1" applyBorder="1"/>
    <xf numFmtId="0" fontId="0" fillId="2" borderId="5" xfId="0" applyFill="1" applyBorder="1"/>
    <xf numFmtId="0" fontId="0" fillId="2" borderId="0" xfId="0" applyFill="1"/>
    <xf numFmtId="0" fontId="2" fillId="2" borderId="0" xfId="0" applyFont="1" applyFill="1"/>
    <xf numFmtId="0" fontId="2" fillId="2" borderId="3" xfId="0" applyFont="1" applyFill="1" applyBorder="1"/>
    <xf numFmtId="0" fontId="2" fillId="2" borderId="6" xfId="0" applyFont="1" applyFill="1" applyBorder="1"/>
    <xf numFmtId="0" fontId="0" fillId="0" borderId="11" xfId="0" applyBorder="1"/>
    <xf numFmtId="0" fontId="0" fillId="0" borderId="12" xfId="0" applyBorder="1"/>
    <xf numFmtId="0" fontId="4" fillId="0" borderId="0" xfId="0" applyFont="1" applyAlignment="1">
      <alignment vertical="center"/>
    </xf>
    <xf numFmtId="0" fontId="0" fillId="0" borderId="4" xfId="0" applyBorder="1"/>
    <xf numFmtId="0" fontId="2" fillId="0" borderId="6" xfId="0" applyFont="1" applyBorder="1"/>
    <xf numFmtId="0" fontId="2" fillId="0" borderId="12" xfId="0" applyFont="1" applyBorder="1"/>
    <xf numFmtId="0" fontId="0" fillId="2" borderId="11" xfId="0" applyFill="1" applyBorder="1"/>
    <xf numFmtId="0" fontId="2" fillId="0" borderId="11" xfId="0" applyFont="1" applyBorder="1"/>
    <xf numFmtId="0" fontId="5" fillId="0" borderId="0" xfId="0" applyFont="1"/>
    <xf numFmtId="0" fontId="0" fillId="0" borderId="13" xfId="0" applyBorder="1"/>
    <xf numFmtId="3" fontId="0" fillId="0" borderId="0" xfId="0" applyNumberFormat="1"/>
    <xf numFmtId="0" fontId="6" fillId="0" borderId="0" xfId="0" applyFont="1" applyAlignment="1">
      <alignment vertical="center"/>
    </xf>
    <xf numFmtId="0" fontId="7" fillId="0" borderId="0" xfId="0" applyFont="1" applyAlignment="1">
      <alignment horizontal="justify" vertical="center"/>
    </xf>
    <xf numFmtId="0" fontId="0" fillId="4" borderId="0" xfId="0" applyFill="1"/>
    <xf numFmtId="0" fontId="1" fillId="0" borderId="0" xfId="0" applyFont="1"/>
    <xf numFmtId="0" fontId="10"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14" xfId="0" applyFont="1" applyBorder="1" applyAlignment="1">
      <alignment horizontal="left" vertical="center" wrapText="1" indent="1"/>
    </xf>
    <xf numFmtId="0" fontId="10" fillId="0" borderId="16" xfId="0" applyFont="1" applyBorder="1" applyAlignment="1">
      <alignment horizontal="left" vertical="center" wrapText="1" indent="1"/>
    </xf>
    <xf numFmtId="0" fontId="7"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17" xfId="0" applyBorder="1"/>
    <xf numFmtId="0" fontId="0" fillId="0" borderId="15" xfId="0" applyBorder="1"/>
    <xf numFmtId="0" fontId="0" fillId="5" borderId="0" xfId="0" applyFill="1"/>
    <xf numFmtId="0" fontId="13" fillId="0" borderId="0" xfId="0" applyFont="1" applyAlignment="1">
      <alignment horizontal="justify" vertical="center"/>
    </xf>
    <xf numFmtId="0" fontId="9" fillId="0" borderId="0" xfId="0" applyFont="1" applyAlignment="1">
      <alignment horizontal="justify" vertical="center"/>
    </xf>
    <xf numFmtId="0" fontId="1" fillId="6" borderId="0" xfId="0" applyFont="1" applyFill="1"/>
    <xf numFmtId="0" fontId="0" fillId="6" borderId="0" xfId="0" applyFill="1"/>
    <xf numFmtId="3" fontId="0" fillId="3" borderId="0" xfId="0" applyNumberFormat="1" applyFill="1"/>
    <xf numFmtId="0" fontId="0" fillId="3" borderId="0" xfId="0" applyFill="1"/>
    <xf numFmtId="3" fontId="0" fillId="2" borderId="0" xfId="0" applyNumberFormat="1" applyFill="1"/>
    <xf numFmtId="0" fontId="0" fillId="0" borderId="18" xfId="0" applyBorder="1"/>
    <xf numFmtId="0" fontId="0" fillId="0" borderId="19" xfId="0" applyBorder="1"/>
    <xf numFmtId="0" fontId="14" fillId="2" borderId="0" xfId="0" applyFont="1" applyFill="1"/>
    <xf numFmtId="0" fontId="15" fillId="2" borderId="0" xfId="0" applyFont="1" applyFill="1"/>
    <xf numFmtId="0" fontId="14" fillId="0" borderId="0" xfId="0" applyFont="1"/>
    <xf numFmtId="0" fontId="0" fillId="0" borderId="20" xfId="0" applyBorder="1"/>
    <xf numFmtId="0" fontId="0" fillId="0" borderId="21" xfId="0" applyBorder="1"/>
    <xf numFmtId="0" fontId="0" fillId="0" borderId="22" xfId="0" applyBorder="1"/>
    <xf numFmtId="3" fontId="0" fillId="3" borderId="15" xfId="0" applyNumberFormat="1" applyFill="1" applyBorder="1"/>
    <xf numFmtId="3" fontId="0" fillId="3" borderId="22" xfId="0" applyNumberFormat="1" applyFill="1" applyBorder="1"/>
    <xf numFmtId="0" fontId="0" fillId="0" borderId="23" xfId="0" applyBorder="1"/>
    <xf numFmtId="0" fontId="0" fillId="0" borderId="24" xfId="0" applyBorder="1"/>
    <xf numFmtId="3" fontId="1" fillId="0" borderId="0" xfId="0" applyNumberFormat="1" applyFont="1"/>
    <xf numFmtId="0" fontId="0" fillId="2" borderId="14" xfId="0" applyFill="1" applyBorder="1"/>
    <xf numFmtId="0" fontId="2" fillId="3" borderId="0" xfId="0" applyFont="1" applyFill="1"/>
    <xf numFmtId="0" fontId="5" fillId="0" borderId="17" xfId="0" applyFont="1" applyBorder="1"/>
    <xf numFmtId="0" fontId="2" fillId="0" borderId="1" xfId="0" applyFont="1" applyBorder="1"/>
    <xf numFmtId="0" fontId="2" fillId="3" borderId="3" xfId="0" applyFont="1" applyFill="1" applyBorder="1"/>
    <xf numFmtId="0" fontId="2" fillId="0" borderId="4" xfId="0" applyFont="1" applyBorder="1"/>
    <xf numFmtId="0" fontId="0" fillId="0" borderId="25" xfId="0" applyBorder="1"/>
    <xf numFmtId="0" fontId="0" fillId="0" borderId="26" xfId="0" applyBorder="1"/>
    <xf numFmtId="0" fontId="0" fillId="0" borderId="16" xfId="0" applyBorder="1"/>
    <xf numFmtId="0" fontId="2" fillId="0" borderId="15" xfId="0" applyFont="1" applyBorder="1"/>
    <xf numFmtId="0" fontId="2" fillId="0" borderId="22" xfId="0" applyFont="1" applyBorder="1"/>
    <xf numFmtId="0" fontId="0" fillId="0" borderId="0" xfId="0" applyAlignment="1">
      <alignment horizontal="left"/>
    </xf>
    <xf numFmtId="164" fontId="0" fillId="0" borderId="0" xfId="0" applyNumberFormat="1" applyAlignment="1">
      <alignment horizontal="right"/>
    </xf>
    <xf numFmtId="0" fontId="16" fillId="0" borderId="0" xfId="0" applyFont="1"/>
    <xf numFmtId="0" fontId="16" fillId="2" borderId="0" xfId="0" applyFont="1" applyFill="1"/>
    <xf numFmtId="0" fontId="0" fillId="0" borderId="0" xfId="0" applyAlignment="1">
      <alignment horizontal="center" vertical="center" wrapText="1"/>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2" borderId="0" xfId="0" applyFill="1" applyAlignment="1">
      <alignment vertical="center" wrapText="1"/>
    </xf>
    <xf numFmtId="0" fontId="0" fillId="2" borderId="0" xfId="0" applyFill="1"/>
    <xf numFmtId="164" fontId="0" fillId="2" borderId="0" xfId="0" applyNumberFormat="1" applyFill="1" applyAlignment="1">
      <alignment horizontal="right"/>
    </xf>
    <xf numFmtId="0" fontId="0" fillId="3" borderId="22" xfId="0" applyFill="1" applyBorder="1"/>
    <xf numFmtId="0" fontId="0" fillId="3" borderId="17" xfId="0" applyFill="1" applyBorder="1"/>
    <xf numFmtId="0" fontId="0" fillId="3" borderId="15" xfId="0" applyFill="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15" fillId="0" borderId="0" xfId="0" applyFont="1"/>
    <xf numFmtId="0" fontId="15" fillId="6" borderId="0" xfId="0" applyFont="1" applyFill="1"/>
    <xf numFmtId="0" fontId="0" fillId="3" borderId="25" xfId="0" applyFill="1" applyBorder="1"/>
    <xf numFmtId="0" fontId="0" fillId="3" borderId="26" xfId="0" applyFill="1" applyBorder="1"/>
    <xf numFmtId="0" fontId="17" fillId="3" borderId="0" xfId="0" applyFont="1" applyFill="1" applyAlignment="1">
      <alignment vertical="center" wrapText="1"/>
    </xf>
    <xf numFmtId="0" fontId="17" fillId="0" borderId="0" xfId="0" applyFont="1" applyAlignment="1">
      <alignment vertical="center" wrapText="1"/>
    </xf>
    <xf numFmtId="0" fontId="9" fillId="0" borderId="0" xfId="0" applyFont="1" applyAlignment="1">
      <alignment vertical="center" wrapText="1"/>
    </xf>
    <xf numFmtId="0" fontId="11" fillId="3" borderId="0" xfId="0" applyFont="1" applyFill="1" applyAlignment="1">
      <alignment vertical="center" wrapText="1"/>
    </xf>
    <xf numFmtId="0" fontId="0" fillId="3" borderId="16" xfId="0" applyFill="1" applyBorder="1"/>
    <xf numFmtId="0" fontId="2" fillId="0" borderId="2" xfId="0" applyFont="1" applyBorder="1"/>
    <xf numFmtId="0" fontId="21" fillId="0" borderId="0" xfId="0" applyFont="1"/>
    <xf numFmtId="0" fontId="0" fillId="2" borderId="22" xfId="0" applyFill="1" applyBorder="1"/>
    <xf numFmtId="0" fontId="0" fillId="2" borderId="15" xfId="0" applyFill="1" applyBorder="1"/>
    <xf numFmtId="0" fontId="15" fillId="6" borderId="22" xfId="0" applyFont="1" applyFill="1" applyBorder="1"/>
    <xf numFmtId="0" fontId="15" fillId="6" borderId="17" xfId="0" applyFont="1" applyFill="1" applyBorder="1"/>
    <xf numFmtId="0" fontId="15" fillId="6" borderId="15" xfId="0" applyFont="1" applyFill="1" applyBorder="1"/>
    <xf numFmtId="0" fontId="5" fillId="0" borderId="22" xfId="0" applyFont="1" applyBorder="1"/>
    <xf numFmtId="0" fontId="5" fillId="4" borderId="17" xfId="0" applyFont="1" applyFill="1" applyBorder="1"/>
    <xf numFmtId="0" fontId="1" fillId="0" borderId="17" xfId="0" applyFont="1" applyBorder="1"/>
    <xf numFmtId="0" fontId="1" fillId="4" borderId="15" xfId="0" applyFont="1" applyFill="1" applyBorder="1"/>
    <xf numFmtId="0" fontId="0" fillId="4" borderId="22" xfId="0" applyFill="1" applyBorder="1"/>
    <xf numFmtId="0" fontId="0" fillId="4" borderId="15" xfId="0" applyFill="1" applyBorder="1"/>
    <xf numFmtId="0" fontId="2" fillId="4" borderId="15" xfId="0" applyFont="1" applyFill="1" applyBorder="1"/>
    <xf numFmtId="0" fontId="2" fillId="0" borderId="27" xfId="0" applyFont="1" applyBorder="1"/>
    <xf numFmtId="0" fontId="21" fillId="6" borderId="0" xfId="0" applyFont="1" applyFill="1"/>
    <xf numFmtId="0" fontId="23" fillId="6" borderId="22" xfId="0" applyFont="1" applyFill="1" applyBorder="1"/>
    <xf numFmtId="0" fontId="0" fillId="6" borderId="17" xfId="0" applyFill="1" applyBorder="1"/>
    <xf numFmtId="0" fontId="24" fillId="6" borderId="15"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9919014290851E-2"/>
          <c:y val="4.6296296296296294E-2"/>
          <c:w val="0.88675345401924655"/>
          <c:h val="0.8416746864975212"/>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'cv2 výd model'!$N$27:$N$36</c:f>
              <c:numCache>
                <c:formatCode>General</c:formatCode>
                <c:ptCount val="10"/>
                <c:pt idx="0">
                  <c:v>0</c:v>
                </c:pt>
                <c:pt idx="1">
                  <c:v>10</c:v>
                </c:pt>
                <c:pt idx="2">
                  <c:v>20</c:v>
                </c:pt>
                <c:pt idx="3">
                  <c:v>30</c:v>
                </c:pt>
                <c:pt idx="4">
                  <c:v>40</c:v>
                </c:pt>
                <c:pt idx="5">
                  <c:v>50</c:v>
                </c:pt>
                <c:pt idx="6">
                  <c:v>60</c:v>
                </c:pt>
                <c:pt idx="7">
                  <c:v>100</c:v>
                </c:pt>
                <c:pt idx="8">
                  <c:v>200</c:v>
                </c:pt>
                <c:pt idx="9">
                  <c:v>300</c:v>
                </c:pt>
              </c:numCache>
            </c:numRef>
          </c:xVal>
          <c:yVal>
            <c:numRef>
              <c:f>'cv2 výd model'!$O$27:$O$36</c:f>
              <c:numCache>
                <c:formatCode>General</c:formatCode>
                <c:ptCount val="10"/>
                <c:pt idx="0">
                  <c:v>0</c:v>
                </c:pt>
                <c:pt idx="1">
                  <c:v>10</c:v>
                </c:pt>
                <c:pt idx="2">
                  <c:v>20</c:v>
                </c:pt>
                <c:pt idx="3">
                  <c:v>30</c:v>
                </c:pt>
                <c:pt idx="4">
                  <c:v>40</c:v>
                </c:pt>
                <c:pt idx="5">
                  <c:v>50</c:v>
                </c:pt>
                <c:pt idx="6">
                  <c:v>60</c:v>
                </c:pt>
                <c:pt idx="7">
                  <c:v>100</c:v>
                </c:pt>
                <c:pt idx="8">
                  <c:v>200</c:v>
                </c:pt>
                <c:pt idx="9">
                  <c:v>300</c:v>
                </c:pt>
              </c:numCache>
            </c:numRef>
          </c:yVal>
          <c:smooth val="0"/>
          <c:extLst>
            <c:ext xmlns:c16="http://schemas.microsoft.com/office/drawing/2014/chart" uri="{C3380CC4-5D6E-409C-BE32-E72D297353CC}">
              <c16:uniqueId val="{00000001-179D-4786-AD5C-EBF526BC1093}"/>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28575" cap="flat" cmpd="sng" algn="ctr">
                <a:solidFill>
                  <a:schemeClr val="accent4"/>
                </a:solidFill>
                <a:prstDash val="solid"/>
                <a:miter lim="800000"/>
              </a:ln>
              <a:effectLst/>
            </c:spPr>
            <c:trendlineType val="linear"/>
            <c:dispRSqr val="0"/>
            <c:dispEq val="0"/>
          </c:trendline>
          <c:xVal>
            <c:numRef>
              <c:f>'cv2 výd model'!$N$27:$N$36</c:f>
              <c:numCache>
                <c:formatCode>General</c:formatCode>
                <c:ptCount val="10"/>
                <c:pt idx="0">
                  <c:v>0</c:v>
                </c:pt>
                <c:pt idx="1">
                  <c:v>10</c:v>
                </c:pt>
                <c:pt idx="2">
                  <c:v>20</c:v>
                </c:pt>
                <c:pt idx="3">
                  <c:v>30</c:v>
                </c:pt>
                <c:pt idx="4">
                  <c:v>40</c:v>
                </c:pt>
                <c:pt idx="5">
                  <c:v>50</c:v>
                </c:pt>
                <c:pt idx="6">
                  <c:v>60</c:v>
                </c:pt>
                <c:pt idx="7">
                  <c:v>100</c:v>
                </c:pt>
                <c:pt idx="8">
                  <c:v>200</c:v>
                </c:pt>
                <c:pt idx="9">
                  <c:v>300</c:v>
                </c:pt>
              </c:numCache>
            </c:numRef>
          </c:xVal>
          <c:yVal>
            <c:numRef>
              <c:f>'cv2 výd model'!$P$27:$P$36</c:f>
              <c:numCache>
                <c:formatCode>General</c:formatCode>
                <c:ptCount val="10"/>
                <c:pt idx="0">
                  <c:v>30</c:v>
                </c:pt>
                <c:pt idx="1">
                  <c:v>38</c:v>
                </c:pt>
                <c:pt idx="2">
                  <c:v>46</c:v>
                </c:pt>
                <c:pt idx="3">
                  <c:v>54</c:v>
                </c:pt>
                <c:pt idx="4">
                  <c:v>62</c:v>
                </c:pt>
                <c:pt idx="5">
                  <c:v>70</c:v>
                </c:pt>
                <c:pt idx="6">
                  <c:v>78</c:v>
                </c:pt>
                <c:pt idx="7">
                  <c:v>110</c:v>
                </c:pt>
                <c:pt idx="8">
                  <c:v>190</c:v>
                </c:pt>
                <c:pt idx="9">
                  <c:v>270</c:v>
                </c:pt>
              </c:numCache>
            </c:numRef>
          </c:yVal>
          <c:smooth val="0"/>
          <c:extLst>
            <c:ext xmlns:c16="http://schemas.microsoft.com/office/drawing/2014/chart" uri="{C3380CC4-5D6E-409C-BE32-E72D297353CC}">
              <c16:uniqueId val="{00000003-179D-4786-AD5C-EBF526BC1093}"/>
            </c:ext>
          </c:extLst>
        </c:ser>
        <c:dLbls>
          <c:showLegendKey val="0"/>
          <c:showVal val="0"/>
          <c:showCatName val="0"/>
          <c:showSerName val="0"/>
          <c:showPercent val="0"/>
          <c:showBubbleSize val="0"/>
        </c:dLbls>
        <c:axId val="205746128"/>
        <c:axId val="205487232"/>
      </c:scatterChart>
      <c:valAx>
        <c:axId val="20574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487232"/>
        <c:crosses val="autoZero"/>
        <c:crossBetween val="midCat"/>
      </c:valAx>
      <c:valAx>
        <c:axId val="205487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46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911451579745926E-2"/>
          <c:y val="1.6052552009233206E-2"/>
          <c:w val="0.96626584317519293"/>
          <c:h val="0.90485496845631586"/>
        </c:manualLayout>
      </c:layout>
      <c:scatterChart>
        <c:scatterStyle val="lineMarker"/>
        <c:varyColors val="0"/>
        <c:ser>
          <c:idx val="0"/>
          <c:order val="0"/>
          <c:tx>
            <c:strRef>
              <c:f>'cv2 výd model'!$AB$26:$AB$27</c:f>
              <c:strCache>
                <c:ptCount val="2"/>
                <c:pt idx="1">
                  <c:v>AE=Y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'cv2 výd model'!$AA$28:$AA$39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xVal>
          <c:yVal>
            <c:numRef>
              <c:f>'cv2 výd model'!$AB$28:$AB$39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yVal>
          <c:smooth val="0"/>
          <c:extLst>
            <c:ext xmlns:c16="http://schemas.microsoft.com/office/drawing/2014/chart" uri="{C3380CC4-5D6E-409C-BE32-E72D297353CC}">
              <c16:uniqueId val="{00000000-4C7F-4A52-836A-57715E444A4E}"/>
            </c:ext>
          </c:extLst>
        </c:ser>
        <c:ser>
          <c:idx val="1"/>
          <c:order val="1"/>
          <c:tx>
            <c:v>AE1</c:v>
          </c:tx>
          <c:spPr>
            <a:ln w="28575" cap="rnd">
              <a:solidFill>
                <a:schemeClr val="accent2"/>
              </a:solidFill>
              <a:round/>
            </a:ln>
            <a:effectLst/>
          </c:spPr>
          <c:marker>
            <c:symbol val="circle"/>
            <c:size val="5"/>
            <c:spPr>
              <a:solidFill>
                <a:schemeClr val="accent2"/>
              </a:solidFill>
              <a:ln w="28575">
                <a:solidFill>
                  <a:schemeClr val="accent2"/>
                </a:solidFill>
              </a:ln>
              <a:effectLst/>
            </c:spPr>
          </c:marker>
          <c:dLbls>
            <c:dLbl>
              <c:idx val="8"/>
              <c:layout>
                <c:manualLayout>
                  <c:x val="-2.0621871732867864E-2"/>
                  <c:y val="-5.7308148344503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F-4A52-836A-57715E444A4E}"/>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'cv2 výd model'!$AA$28:$AA$39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xVal>
          <c:yVal>
            <c:numRef>
              <c:f>'cv2 výd model'!$AC$28:$AC$39</c:f>
              <c:numCache>
                <c:formatCode>General</c:formatCode>
                <c:ptCount val="12"/>
                <c:pt idx="0">
                  <c:v>30</c:v>
                </c:pt>
                <c:pt idx="1">
                  <c:v>38</c:v>
                </c:pt>
                <c:pt idx="2">
                  <c:v>46</c:v>
                </c:pt>
                <c:pt idx="3">
                  <c:v>54</c:v>
                </c:pt>
                <c:pt idx="4">
                  <c:v>62</c:v>
                </c:pt>
                <c:pt idx="5">
                  <c:v>70</c:v>
                </c:pt>
                <c:pt idx="6">
                  <c:v>78</c:v>
                </c:pt>
                <c:pt idx="7">
                  <c:v>110</c:v>
                </c:pt>
                <c:pt idx="8">
                  <c:v>190</c:v>
                </c:pt>
                <c:pt idx="9">
                  <c:v>270</c:v>
                </c:pt>
                <c:pt idx="10">
                  <c:v>134</c:v>
                </c:pt>
                <c:pt idx="11">
                  <c:v>150</c:v>
                </c:pt>
              </c:numCache>
            </c:numRef>
          </c:yVal>
          <c:smooth val="0"/>
          <c:extLst>
            <c:ext xmlns:c16="http://schemas.microsoft.com/office/drawing/2014/chart" uri="{C3380CC4-5D6E-409C-BE32-E72D297353CC}">
              <c16:uniqueId val="{00000002-4C7F-4A52-836A-57715E444A4E}"/>
            </c:ext>
          </c:extLst>
        </c:ser>
        <c:ser>
          <c:idx val="2"/>
          <c:order val="2"/>
          <c:tx>
            <c:v>AE2</c:v>
          </c:tx>
          <c:spPr>
            <a:ln w="28575" cap="rnd">
              <a:solidFill>
                <a:srgbClr val="7030A0"/>
              </a:solidFill>
              <a:round/>
            </a:ln>
            <a:effectLst/>
          </c:spPr>
          <c:marker>
            <c:symbol val="circle"/>
            <c:size val="5"/>
            <c:spPr>
              <a:solidFill>
                <a:schemeClr val="accent3"/>
              </a:solidFill>
              <a:ln w="2857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'cv2 výd model'!$AA$28:$AA$39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xVal>
          <c:yVal>
            <c:numRef>
              <c:f>'cv2 výd model'!$AD$28:$AD$39</c:f>
              <c:numCache>
                <c:formatCode>General</c:formatCode>
                <c:ptCount val="12"/>
                <c:pt idx="0">
                  <c:v>26</c:v>
                </c:pt>
                <c:pt idx="1">
                  <c:v>34</c:v>
                </c:pt>
                <c:pt idx="2">
                  <c:v>42</c:v>
                </c:pt>
                <c:pt idx="3">
                  <c:v>50</c:v>
                </c:pt>
                <c:pt idx="4">
                  <c:v>58</c:v>
                </c:pt>
                <c:pt idx="5">
                  <c:v>66</c:v>
                </c:pt>
                <c:pt idx="6">
                  <c:v>74</c:v>
                </c:pt>
                <c:pt idx="7">
                  <c:v>106</c:v>
                </c:pt>
                <c:pt idx="8">
                  <c:v>186</c:v>
                </c:pt>
                <c:pt idx="9">
                  <c:v>266</c:v>
                </c:pt>
                <c:pt idx="10">
                  <c:v>130</c:v>
                </c:pt>
                <c:pt idx="11">
                  <c:v>146</c:v>
                </c:pt>
              </c:numCache>
            </c:numRef>
          </c:yVal>
          <c:smooth val="0"/>
          <c:extLst>
            <c:ext xmlns:c16="http://schemas.microsoft.com/office/drawing/2014/chart" uri="{C3380CC4-5D6E-409C-BE32-E72D297353CC}">
              <c16:uniqueId val="{00000003-4C7F-4A52-836A-57715E444A4E}"/>
            </c:ext>
          </c:extLst>
        </c:ser>
        <c:dLbls>
          <c:showLegendKey val="0"/>
          <c:showVal val="0"/>
          <c:showCatName val="0"/>
          <c:showSerName val="0"/>
          <c:showPercent val="0"/>
          <c:showBubbleSize val="0"/>
        </c:dLbls>
        <c:axId val="1948127264"/>
        <c:axId val="199068064"/>
      </c:scatterChart>
      <c:valAx>
        <c:axId val="1948127264"/>
        <c:scaling>
          <c:orientation val="minMax"/>
          <c:max val="1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9068064"/>
        <c:crosses val="autoZero"/>
        <c:crossBetween val="midCat"/>
        <c:majorUnit val="10"/>
      </c:valAx>
      <c:valAx>
        <c:axId val="199068064"/>
        <c:scaling>
          <c:orientation val="minMax"/>
          <c:max val="17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948127264"/>
        <c:crosses val="autoZero"/>
        <c:crossBetween val="midCat"/>
      </c:valAx>
      <c:spPr>
        <a:noFill/>
        <a:ln>
          <a:noFill/>
        </a:ln>
        <a:effectLst/>
      </c:spPr>
    </c:plotArea>
    <c:legend>
      <c:legendPos val="b"/>
      <c:layout>
        <c:manualLayout>
          <c:xMode val="edge"/>
          <c:yMode val="edge"/>
          <c:x val="0.43959610051656278"/>
          <c:y val="0.94415073255315662"/>
          <c:w val="0.2041411262913439"/>
          <c:h val="4.595718076568126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6.png"/><Relationship Id="rId2" Type="http://schemas.openxmlformats.org/officeDocument/2006/relationships/chart" Target="../charts/chart1.xml"/><Relationship Id="rId1" Type="http://schemas.openxmlformats.org/officeDocument/2006/relationships/image" Target="../media/image2.em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13</xdr:col>
      <xdr:colOff>60960</xdr:colOff>
      <xdr:row>33</xdr:row>
      <xdr:rowOff>137160</xdr:rowOff>
    </xdr:from>
    <xdr:to>
      <xdr:col>15</xdr:col>
      <xdr:colOff>323849</xdr:colOff>
      <xdr:row>35</xdr:row>
      <xdr:rowOff>19050</xdr:rowOff>
    </xdr:to>
    <xdr:pic>
      <xdr:nvPicPr>
        <xdr:cNvPr id="4" name="Obrázek 4" descr="Výdajová metoda měření HDP">
          <a:extLst>
            <a:ext uri="{FF2B5EF4-FFF2-40B4-BE49-F238E27FC236}">
              <a16:creationId xmlns:a16="http://schemas.microsoft.com/office/drawing/2014/main" id="{015644AC-E23C-4354-9659-7866B9C5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0" y="6315075"/>
          <a:ext cx="1657349" cy="247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118660</xdr:colOff>
      <xdr:row>1</xdr:row>
      <xdr:rowOff>15110</xdr:rowOff>
    </xdr:from>
    <xdr:to>
      <xdr:col>38</xdr:col>
      <xdr:colOff>388893</xdr:colOff>
      <xdr:row>17</xdr:row>
      <xdr:rowOff>93344</xdr:rowOff>
    </xdr:to>
    <xdr:pic>
      <xdr:nvPicPr>
        <xdr:cNvPr id="2" name="Obrázek 1">
          <a:extLst>
            <a:ext uri="{FF2B5EF4-FFF2-40B4-BE49-F238E27FC236}">
              <a16:creationId xmlns:a16="http://schemas.microsoft.com/office/drawing/2014/main" id="{E9938831-93B2-4EC4-BF61-42D88F246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86767" y="192003"/>
          <a:ext cx="8842733" cy="3003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2246</xdr:colOff>
      <xdr:row>107</xdr:row>
      <xdr:rowOff>12792</xdr:rowOff>
    </xdr:from>
    <xdr:to>
      <xdr:col>24</xdr:col>
      <xdr:colOff>259352</xdr:colOff>
      <xdr:row>117</xdr:row>
      <xdr:rowOff>58239</xdr:rowOff>
    </xdr:to>
    <xdr:grpSp>
      <xdr:nvGrpSpPr>
        <xdr:cNvPr id="3" name="Skupina 53">
          <a:extLst>
            <a:ext uri="{FF2B5EF4-FFF2-40B4-BE49-F238E27FC236}">
              <a16:creationId xmlns:a16="http://schemas.microsoft.com/office/drawing/2014/main" id="{3BC17E76-961F-4490-AFD8-D59401D16A10}"/>
            </a:ext>
          </a:extLst>
        </xdr:cNvPr>
        <xdr:cNvGrpSpPr/>
      </xdr:nvGrpSpPr>
      <xdr:grpSpPr>
        <a:xfrm>
          <a:off x="13173960" y="19529245"/>
          <a:ext cx="4051594" cy="1833970"/>
          <a:chOff x="0" y="0"/>
          <a:chExt cx="2076450" cy="1847850"/>
        </a:xfrm>
      </xdr:grpSpPr>
      <xdr:sp macro="" textlink="">
        <xdr:nvSpPr>
          <xdr:cNvPr id="4" name="Textové pole 358">
            <a:extLst>
              <a:ext uri="{FF2B5EF4-FFF2-40B4-BE49-F238E27FC236}">
                <a16:creationId xmlns:a16="http://schemas.microsoft.com/office/drawing/2014/main" id="{C44D7982-FB5B-4D52-BA89-54B93BA86D07}"/>
              </a:ext>
            </a:extLst>
          </xdr:cNvPr>
          <xdr:cNvSpPr txBox="1"/>
        </xdr:nvSpPr>
        <xdr:spPr>
          <a:xfrm>
            <a:off x="762000" y="1390650"/>
            <a:ext cx="45720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250</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5" name="Skupina 55">
            <a:extLst>
              <a:ext uri="{FF2B5EF4-FFF2-40B4-BE49-F238E27FC236}">
                <a16:creationId xmlns:a16="http://schemas.microsoft.com/office/drawing/2014/main" id="{67E9E48B-0F6B-4C35-9007-42F016CEA397}"/>
              </a:ext>
            </a:extLst>
          </xdr:cNvPr>
          <xdr:cNvGrpSpPr/>
        </xdr:nvGrpSpPr>
        <xdr:grpSpPr>
          <a:xfrm>
            <a:off x="0" y="0"/>
            <a:ext cx="2076450" cy="1847850"/>
            <a:chOff x="0" y="0"/>
            <a:chExt cx="2076450" cy="1847850"/>
          </a:xfrm>
        </xdr:grpSpPr>
        <xdr:sp macro="" textlink="">
          <xdr:nvSpPr>
            <xdr:cNvPr id="6" name="Textové pole 356">
              <a:extLst>
                <a:ext uri="{FF2B5EF4-FFF2-40B4-BE49-F238E27FC236}">
                  <a16:creationId xmlns:a16="http://schemas.microsoft.com/office/drawing/2014/main" id="{96A2F79C-6205-410A-A519-2B33DE27A16C}"/>
                </a:ext>
              </a:extLst>
            </xdr:cNvPr>
            <xdr:cNvSpPr txBox="1"/>
          </xdr:nvSpPr>
          <xdr:spPr>
            <a:xfrm>
              <a:off x="0" y="638175"/>
              <a:ext cx="4095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500</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7" name="Skupina 57">
              <a:extLst>
                <a:ext uri="{FF2B5EF4-FFF2-40B4-BE49-F238E27FC236}">
                  <a16:creationId xmlns:a16="http://schemas.microsoft.com/office/drawing/2014/main" id="{72706280-146A-40DA-860C-E9F6E26B2306}"/>
                </a:ext>
              </a:extLst>
            </xdr:cNvPr>
            <xdr:cNvGrpSpPr/>
          </xdr:nvGrpSpPr>
          <xdr:grpSpPr>
            <a:xfrm>
              <a:off x="47625" y="0"/>
              <a:ext cx="2028825" cy="1847850"/>
              <a:chOff x="0" y="0"/>
              <a:chExt cx="2028825" cy="1847850"/>
            </a:xfrm>
          </xdr:grpSpPr>
          <xdr:sp macro="" textlink="">
            <xdr:nvSpPr>
              <xdr:cNvPr id="8" name="Textové pole 354">
                <a:extLst>
                  <a:ext uri="{FF2B5EF4-FFF2-40B4-BE49-F238E27FC236}">
                    <a16:creationId xmlns:a16="http://schemas.microsoft.com/office/drawing/2014/main" id="{05B2A69F-44E2-46F6-AF70-7F0C88795CAB}"/>
                  </a:ext>
                </a:extLst>
              </xdr:cNvPr>
              <xdr:cNvSpPr txBox="1"/>
            </xdr:nvSpPr>
            <xdr:spPr>
              <a:xfrm>
                <a:off x="1362075" y="1609725"/>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NX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9" name="Textové pole 353">
                <a:extLst>
                  <a:ext uri="{FF2B5EF4-FFF2-40B4-BE49-F238E27FC236}">
                    <a16:creationId xmlns:a16="http://schemas.microsoft.com/office/drawing/2014/main" id="{27847D53-7F75-4721-9FDB-099C7240D675}"/>
                  </a:ext>
                </a:extLst>
              </xdr:cNvPr>
              <xdr:cNvSpPr txBox="1"/>
            </xdr:nvSpPr>
            <xdr:spPr>
              <a:xfrm>
                <a:off x="1432613" y="592196"/>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10" name="Textové pole 352">
                <a:extLst>
                  <a:ext uri="{FF2B5EF4-FFF2-40B4-BE49-F238E27FC236}">
                    <a16:creationId xmlns:a16="http://schemas.microsoft.com/office/drawing/2014/main" id="{9283F331-B436-414B-973D-22209A6A2E25}"/>
                  </a:ext>
                </a:extLst>
              </xdr:cNvPr>
              <xdr:cNvSpPr txBox="1"/>
            </xdr:nvSpPr>
            <xdr:spPr>
              <a:xfrm>
                <a:off x="1466850" y="104775"/>
                <a:ext cx="5619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0,2*Y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11" name="Textové pole 351">
                <a:extLst>
                  <a:ext uri="{FF2B5EF4-FFF2-40B4-BE49-F238E27FC236}">
                    <a16:creationId xmlns:a16="http://schemas.microsoft.com/office/drawing/2014/main" id="{8C8863C3-D17D-44FB-B601-BEA6B4A04579}"/>
                  </a:ext>
                </a:extLst>
              </xdr:cNvPr>
              <xdr:cNvSpPr txBox="1"/>
            </xdr:nvSpPr>
            <xdr:spPr>
              <a:xfrm>
                <a:off x="1457325" y="137160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12" name="Textové pole 350">
                <a:extLst>
                  <a:ext uri="{FF2B5EF4-FFF2-40B4-BE49-F238E27FC236}">
                    <a16:creationId xmlns:a16="http://schemas.microsoft.com/office/drawing/2014/main" id="{6EF50460-8AD8-4155-9066-BAA92455F762}"/>
                  </a:ext>
                </a:extLst>
              </xdr:cNvPr>
              <xdr:cNvSpPr txBox="1"/>
            </xdr:nvSpPr>
            <xdr:spPr>
              <a:xfrm>
                <a:off x="0" y="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13" name="Skupina 63">
                <a:extLst>
                  <a:ext uri="{FF2B5EF4-FFF2-40B4-BE49-F238E27FC236}">
                    <a16:creationId xmlns:a16="http://schemas.microsoft.com/office/drawing/2014/main" id="{E9ACCC0C-2D7A-48AA-8224-0B56C6F7ABE1}"/>
                  </a:ext>
                </a:extLst>
              </xdr:cNvPr>
              <xdr:cNvGrpSpPr/>
            </xdr:nvGrpSpPr>
            <xdr:grpSpPr>
              <a:xfrm>
                <a:off x="276225" y="85725"/>
                <a:ext cx="1362075" cy="1762125"/>
                <a:chOff x="0" y="0"/>
                <a:chExt cx="1362075" cy="1762125"/>
              </a:xfrm>
            </xdr:grpSpPr>
            <xdr:cxnSp macro="">
              <xdr:nvCxnSpPr>
                <xdr:cNvPr id="14" name="Přímá spojnice 64">
                  <a:extLst>
                    <a:ext uri="{FF2B5EF4-FFF2-40B4-BE49-F238E27FC236}">
                      <a16:creationId xmlns:a16="http://schemas.microsoft.com/office/drawing/2014/main" id="{CFDD1ADB-B27F-4973-9D02-051A21A688AB}"/>
                    </a:ext>
                  </a:extLst>
                </xdr:cNvPr>
                <xdr:cNvCxnSpPr/>
              </xdr:nvCxnSpPr>
              <xdr:spPr>
                <a:xfrm>
                  <a:off x="0" y="0"/>
                  <a:ext cx="0" cy="1304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Přímá spojnice 65">
                  <a:extLst>
                    <a:ext uri="{FF2B5EF4-FFF2-40B4-BE49-F238E27FC236}">
                      <a16:creationId xmlns:a16="http://schemas.microsoft.com/office/drawing/2014/main" id="{C6F1EB94-ABAA-45D8-98EB-981AAAF64CE7}"/>
                    </a:ext>
                  </a:extLst>
                </xdr:cNvPr>
                <xdr:cNvCxnSpPr/>
              </xdr:nvCxnSpPr>
              <xdr:spPr>
                <a:xfrm flipH="1">
                  <a:off x="0" y="1304925"/>
                  <a:ext cx="13620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Přímá spojnice 66">
                  <a:extLst>
                    <a:ext uri="{FF2B5EF4-FFF2-40B4-BE49-F238E27FC236}">
                      <a16:creationId xmlns:a16="http://schemas.microsoft.com/office/drawing/2014/main" id="{75DE6C57-91B5-4EB2-940A-693E3CF6410C}"/>
                    </a:ext>
                  </a:extLst>
                </xdr:cNvPr>
                <xdr:cNvCxnSpPr/>
              </xdr:nvCxnSpPr>
              <xdr:spPr>
                <a:xfrm flipH="1">
                  <a:off x="0" y="685800"/>
                  <a:ext cx="1362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Přímá spojnice 67">
                  <a:extLst>
                    <a:ext uri="{FF2B5EF4-FFF2-40B4-BE49-F238E27FC236}">
                      <a16:creationId xmlns:a16="http://schemas.microsoft.com/office/drawing/2014/main" id="{F0BC0B4F-5449-4222-9264-9443293A04F3}"/>
                    </a:ext>
                  </a:extLst>
                </xdr:cNvPr>
                <xdr:cNvCxnSpPr/>
              </xdr:nvCxnSpPr>
              <xdr:spPr>
                <a:xfrm flipH="1">
                  <a:off x="0" y="200025"/>
                  <a:ext cx="1266825" cy="1095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Přímá spojnice 68">
                  <a:extLst>
                    <a:ext uri="{FF2B5EF4-FFF2-40B4-BE49-F238E27FC236}">
                      <a16:creationId xmlns:a16="http://schemas.microsoft.com/office/drawing/2014/main" id="{2542C5C8-FC4F-4882-AB47-B5D93671CF1F}"/>
                    </a:ext>
                  </a:extLst>
                </xdr:cNvPr>
                <xdr:cNvCxnSpPr/>
              </xdr:nvCxnSpPr>
              <xdr:spPr>
                <a:xfrm flipH="1" flipV="1">
                  <a:off x="1" y="685800"/>
                  <a:ext cx="1190624" cy="1076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Přímá spojnice 69">
                  <a:extLst>
                    <a:ext uri="{FF2B5EF4-FFF2-40B4-BE49-F238E27FC236}">
                      <a16:creationId xmlns:a16="http://schemas.microsoft.com/office/drawing/2014/main" id="{BBA3459E-79B6-4901-8DFD-356AE40288F0}"/>
                    </a:ext>
                  </a:extLst>
                </xdr:cNvPr>
                <xdr:cNvCxnSpPr/>
              </xdr:nvCxnSpPr>
              <xdr:spPr>
                <a:xfrm>
                  <a:off x="695325" y="685800"/>
                  <a:ext cx="0" cy="619125"/>
                </a:xfrm>
                <a:prstGeom prst="line">
                  <a:avLst/>
                </a:prstGeom>
                <a:ln w="12700">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54</xdr:col>
      <xdr:colOff>323850</xdr:colOff>
      <xdr:row>35</xdr:row>
      <xdr:rowOff>19050</xdr:rowOff>
    </xdr:from>
    <xdr:to>
      <xdr:col>60</xdr:col>
      <xdr:colOff>514350</xdr:colOff>
      <xdr:row>49</xdr:row>
      <xdr:rowOff>95250</xdr:rowOff>
    </xdr:to>
    <xdr:grpSp>
      <xdr:nvGrpSpPr>
        <xdr:cNvPr id="20" name="Skupina 70">
          <a:extLst>
            <a:ext uri="{FF2B5EF4-FFF2-40B4-BE49-F238E27FC236}">
              <a16:creationId xmlns:a16="http://schemas.microsoft.com/office/drawing/2014/main" id="{FCD9A14E-2F34-43A8-8B7C-B95D6D249436}"/>
            </a:ext>
          </a:extLst>
        </xdr:cNvPr>
        <xdr:cNvGrpSpPr/>
      </xdr:nvGrpSpPr>
      <xdr:grpSpPr>
        <a:xfrm>
          <a:off x="35657790" y="6383383"/>
          <a:ext cx="4612821" cy="2634343"/>
          <a:chOff x="0" y="0"/>
          <a:chExt cx="2076450" cy="1847850"/>
        </a:xfrm>
      </xdr:grpSpPr>
      <xdr:sp macro="" textlink="">
        <xdr:nvSpPr>
          <xdr:cNvPr id="21" name="Textové pole 358">
            <a:extLst>
              <a:ext uri="{FF2B5EF4-FFF2-40B4-BE49-F238E27FC236}">
                <a16:creationId xmlns:a16="http://schemas.microsoft.com/office/drawing/2014/main" id="{A8A54D2A-D489-4520-95C2-C8409C1B2700}"/>
              </a:ext>
            </a:extLst>
          </xdr:cNvPr>
          <xdr:cNvSpPr txBox="1"/>
        </xdr:nvSpPr>
        <xdr:spPr>
          <a:xfrm>
            <a:off x="762000" y="1390650"/>
            <a:ext cx="45720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2667</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22" name="Skupina 72">
            <a:extLst>
              <a:ext uri="{FF2B5EF4-FFF2-40B4-BE49-F238E27FC236}">
                <a16:creationId xmlns:a16="http://schemas.microsoft.com/office/drawing/2014/main" id="{CB061A4F-A56D-45A8-A382-D5883854852E}"/>
              </a:ext>
            </a:extLst>
          </xdr:cNvPr>
          <xdr:cNvGrpSpPr/>
        </xdr:nvGrpSpPr>
        <xdr:grpSpPr>
          <a:xfrm>
            <a:off x="0" y="0"/>
            <a:ext cx="2076450" cy="1847850"/>
            <a:chOff x="0" y="0"/>
            <a:chExt cx="2076450" cy="1847850"/>
          </a:xfrm>
        </xdr:grpSpPr>
        <xdr:sp macro="" textlink="">
          <xdr:nvSpPr>
            <xdr:cNvPr id="23" name="Textové pole 356">
              <a:extLst>
                <a:ext uri="{FF2B5EF4-FFF2-40B4-BE49-F238E27FC236}">
                  <a16:creationId xmlns:a16="http://schemas.microsoft.com/office/drawing/2014/main" id="{A9C8B427-5446-4A6C-A95A-B693D16E99DB}"/>
                </a:ext>
              </a:extLst>
            </xdr:cNvPr>
            <xdr:cNvSpPr txBox="1"/>
          </xdr:nvSpPr>
          <xdr:spPr>
            <a:xfrm>
              <a:off x="0" y="638175"/>
              <a:ext cx="4095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400</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24" name="Skupina 74">
              <a:extLst>
                <a:ext uri="{FF2B5EF4-FFF2-40B4-BE49-F238E27FC236}">
                  <a16:creationId xmlns:a16="http://schemas.microsoft.com/office/drawing/2014/main" id="{30E40EED-A03C-4F40-B02D-FD0D519B0EFC}"/>
                </a:ext>
              </a:extLst>
            </xdr:cNvPr>
            <xdr:cNvGrpSpPr/>
          </xdr:nvGrpSpPr>
          <xdr:grpSpPr>
            <a:xfrm>
              <a:off x="47625" y="0"/>
              <a:ext cx="2028825" cy="1847850"/>
              <a:chOff x="0" y="0"/>
              <a:chExt cx="2028825" cy="1847850"/>
            </a:xfrm>
          </xdr:grpSpPr>
          <xdr:sp macro="" textlink="">
            <xdr:nvSpPr>
              <xdr:cNvPr id="25" name="Textové pole 354">
                <a:extLst>
                  <a:ext uri="{FF2B5EF4-FFF2-40B4-BE49-F238E27FC236}">
                    <a16:creationId xmlns:a16="http://schemas.microsoft.com/office/drawing/2014/main" id="{7D9AEF3E-6AB0-43E4-9EAD-3A24C98E5989}"/>
                  </a:ext>
                </a:extLst>
              </xdr:cNvPr>
              <xdr:cNvSpPr txBox="1"/>
            </xdr:nvSpPr>
            <xdr:spPr>
              <a:xfrm>
                <a:off x="1362075" y="1609725"/>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NX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26" name="Textové pole 353">
                <a:extLst>
                  <a:ext uri="{FF2B5EF4-FFF2-40B4-BE49-F238E27FC236}">
                    <a16:creationId xmlns:a16="http://schemas.microsoft.com/office/drawing/2014/main" id="{678E3360-FAED-4FAF-A669-4E0668AF1E48}"/>
                  </a:ext>
                </a:extLst>
              </xdr:cNvPr>
              <xdr:cNvSpPr txBox="1"/>
            </xdr:nvSpPr>
            <xdr:spPr>
              <a:xfrm>
                <a:off x="1432613" y="592196"/>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27" name="Textové pole 352">
                <a:extLst>
                  <a:ext uri="{FF2B5EF4-FFF2-40B4-BE49-F238E27FC236}">
                    <a16:creationId xmlns:a16="http://schemas.microsoft.com/office/drawing/2014/main" id="{6261F1DA-4934-48DC-8F53-7675E38F5677}"/>
                  </a:ext>
                </a:extLst>
              </xdr:cNvPr>
              <xdr:cNvSpPr txBox="1"/>
            </xdr:nvSpPr>
            <xdr:spPr>
              <a:xfrm>
                <a:off x="1466850" y="104775"/>
                <a:ext cx="5619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0,15Y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28" name="Textové pole 351">
                <a:extLst>
                  <a:ext uri="{FF2B5EF4-FFF2-40B4-BE49-F238E27FC236}">
                    <a16:creationId xmlns:a16="http://schemas.microsoft.com/office/drawing/2014/main" id="{11972BC9-0517-4B9A-9C40-8692EDC13CA9}"/>
                  </a:ext>
                </a:extLst>
              </xdr:cNvPr>
              <xdr:cNvSpPr txBox="1"/>
            </xdr:nvSpPr>
            <xdr:spPr>
              <a:xfrm>
                <a:off x="1457325" y="137160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macro="" textlink="">
            <xdr:nvSpPr>
              <xdr:cNvPr id="29" name="Textové pole 350">
                <a:extLst>
                  <a:ext uri="{FF2B5EF4-FFF2-40B4-BE49-F238E27FC236}">
                    <a16:creationId xmlns:a16="http://schemas.microsoft.com/office/drawing/2014/main" id="{77BA221B-F8A6-4C41-AB26-C97428A04822}"/>
                  </a:ext>
                </a:extLst>
              </xdr:cNvPr>
              <xdr:cNvSpPr txBox="1"/>
            </xdr:nvSpPr>
            <xdr:spPr>
              <a:xfrm>
                <a:off x="0" y="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30" name="Skupina 80">
                <a:extLst>
                  <a:ext uri="{FF2B5EF4-FFF2-40B4-BE49-F238E27FC236}">
                    <a16:creationId xmlns:a16="http://schemas.microsoft.com/office/drawing/2014/main" id="{BDF45E2E-C38B-47FB-BF75-3E80903EE6D9}"/>
                  </a:ext>
                </a:extLst>
              </xdr:cNvPr>
              <xdr:cNvGrpSpPr/>
            </xdr:nvGrpSpPr>
            <xdr:grpSpPr>
              <a:xfrm>
                <a:off x="276225" y="85725"/>
                <a:ext cx="1362075" cy="1762125"/>
                <a:chOff x="0" y="0"/>
                <a:chExt cx="1362075" cy="1762125"/>
              </a:xfrm>
            </xdr:grpSpPr>
            <xdr:cxnSp macro="">
              <xdr:nvCxnSpPr>
                <xdr:cNvPr id="31" name="Přímá spojnice 81">
                  <a:extLst>
                    <a:ext uri="{FF2B5EF4-FFF2-40B4-BE49-F238E27FC236}">
                      <a16:creationId xmlns:a16="http://schemas.microsoft.com/office/drawing/2014/main" id="{FECCE97E-5AE2-478F-915E-2E2D89F5F2D5}"/>
                    </a:ext>
                  </a:extLst>
                </xdr:cNvPr>
                <xdr:cNvCxnSpPr/>
              </xdr:nvCxnSpPr>
              <xdr:spPr>
                <a:xfrm>
                  <a:off x="0" y="0"/>
                  <a:ext cx="0" cy="1304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Přímá spojnice 82">
                  <a:extLst>
                    <a:ext uri="{FF2B5EF4-FFF2-40B4-BE49-F238E27FC236}">
                      <a16:creationId xmlns:a16="http://schemas.microsoft.com/office/drawing/2014/main" id="{D0B20C7F-3C77-4026-92A4-A4D52CF254B8}"/>
                    </a:ext>
                  </a:extLst>
                </xdr:cNvPr>
                <xdr:cNvCxnSpPr/>
              </xdr:nvCxnSpPr>
              <xdr:spPr>
                <a:xfrm flipH="1">
                  <a:off x="0" y="1304925"/>
                  <a:ext cx="13620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Přímá spojnice 83">
                  <a:extLst>
                    <a:ext uri="{FF2B5EF4-FFF2-40B4-BE49-F238E27FC236}">
                      <a16:creationId xmlns:a16="http://schemas.microsoft.com/office/drawing/2014/main" id="{BF1F64F8-42B4-4508-AAD5-5B1E03136744}"/>
                    </a:ext>
                  </a:extLst>
                </xdr:cNvPr>
                <xdr:cNvCxnSpPr/>
              </xdr:nvCxnSpPr>
              <xdr:spPr>
                <a:xfrm flipH="1">
                  <a:off x="0" y="685800"/>
                  <a:ext cx="1362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Přímá spojnice 84">
                  <a:extLst>
                    <a:ext uri="{FF2B5EF4-FFF2-40B4-BE49-F238E27FC236}">
                      <a16:creationId xmlns:a16="http://schemas.microsoft.com/office/drawing/2014/main" id="{0ACC8AA5-71EF-4452-87A5-EC5B25DC8062}"/>
                    </a:ext>
                  </a:extLst>
                </xdr:cNvPr>
                <xdr:cNvCxnSpPr/>
              </xdr:nvCxnSpPr>
              <xdr:spPr>
                <a:xfrm flipH="1">
                  <a:off x="0" y="200025"/>
                  <a:ext cx="1266825" cy="1095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Přímá spojnice 85">
                  <a:extLst>
                    <a:ext uri="{FF2B5EF4-FFF2-40B4-BE49-F238E27FC236}">
                      <a16:creationId xmlns:a16="http://schemas.microsoft.com/office/drawing/2014/main" id="{258EBFBC-133C-4F88-9840-94F9929B0390}"/>
                    </a:ext>
                  </a:extLst>
                </xdr:cNvPr>
                <xdr:cNvCxnSpPr/>
              </xdr:nvCxnSpPr>
              <xdr:spPr>
                <a:xfrm flipH="1" flipV="1">
                  <a:off x="2" y="685800"/>
                  <a:ext cx="1190624" cy="1076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Přímá spojnice 86">
                  <a:extLst>
                    <a:ext uri="{FF2B5EF4-FFF2-40B4-BE49-F238E27FC236}">
                      <a16:creationId xmlns:a16="http://schemas.microsoft.com/office/drawing/2014/main" id="{8088E048-A3DF-4110-BD97-4F913A13496D}"/>
                    </a:ext>
                  </a:extLst>
                </xdr:cNvPr>
                <xdr:cNvCxnSpPr/>
              </xdr:nvCxnSpPr>
              <xdr:spPr>
                <a:xfrm>
                  <a:off x="695325" y="685800"/>
                  <a:ext cx="0" cy="619125"/>
                </a:xfrm>
                <a:prstGeom prst="line">
                  <a:avLst/>
                </a:prstGeom>
                <a:ln w="12700">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8</xdr:col>
      <xdr:colOff>1120083</xdr:colOff>
      <xdr:row>38</xdr:row>
      <xdr:rowOff>39995</xdr:rowOff>
    </xdr:from>
    <xdr:to>
      <xdr:col>22</xdr:col>
      <xdr:colOff>364259</xdr:colOff>
      <xdr:row>62</xdr:row>
      <xdr:rowOff>58653</xdr:rowOff>
    </xdr:to>
    <xdr:graphicFrame macro="">
      <xdr:nvGraphicFramePr>
        <xdr:cNvPr id="37" name="Graf 88">
          <a:extLst>
            <a:ext uri="{FF2B5EF4-FFF2-40B4-BE49-F238E27FC236}">
              <a16:creationId xmlns:a16="http://schemas.microsoft.com/office/drawing/2014/main" id="{DD57A97D-096C-4A27-83AA-12981230B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376517</xdr:colOff>
      <xdr:row>19</xdr:row>
      <xdr:rowOff>112057</xdr:rowOff>
    </xdr:from>
    <xdr:to>
      <xdr:col>46</xdr:col>
      <xdr:colOff>277906</xdr:colOff>
      <xdr:row>61</xdr:row>
      <xdr:rowOff>167067</xdr:rowOff>
    </xdr:to>
    <xdr:graphicFrame macro="">
      <xdr:nvGraphicFramePr>
        <xdr:cNvPr id="38" name="Graf 89">
          <a:extLst>
            <a:ext uri="{FF2B5EF4-FFF2-40B4-BE49-F238E27FC236}">
              <a16:creationId xmlns:a16="http://schemas.microsoft.com/office/drawing/2014/main" id="{622DB026-1398-4096-9DA1-7C9587CB0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188046</xdr:colOff>
      <xdr:row>63</xdr:row>
      <xdr:rowOff>3203</xdr:rowOff>
    </xdr:from>
    <xdr:to>
      <xdr:col>33</xdr:col>
      <xdr:colOff>380920</xdr:colOff>
      <xdr:row>85</xdr:row>
      <xdr:rowOff>44631</xdr:rowOff>
    </xdr:to>
    <xdr:pic>
      <xdr:nvPicPr>
        <xdr:cNvPr id="39" name="Obrázek 91">
          <a:extLst>
            <a:ext uri="{FF2B5EF4-FFF2-40B4-BE49-F238E27FC236}">
              <a16:creationId xmlns:a16="http://schemas.microsoft.com/office/drawing/2014/main" id="{F33B1ACA-8DE6-41E1-BFE8-361671B1E6A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59760" y="11405989"/>
          <a:ext cx="9500160" cy="3933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716280</xdr:colOff>
      <xdr:row>90</xdr:row>
      <xdr:rowOff>193271</xdr:rowOff>
    </xdr:from>
    <xdr:to>
      <xdr:col>22</xdr:col>
      <xdr:colOff>132355</xdr:colOff>
      <xdr:row>95</xdr:row>
      <xdr:rowOff>114438</xdr:rowOff>
    </xdr:to>
    <xdr:pic>
      <xdr:nvPicPr>
        <xdr:cNvPr id="40" name="Obrázek 93">
          <a:extLst>
            <a:ext uri="{FF2B5EF4-FFF2-40B4-BE49-F238E27FC236}">
              <a16:creationId xmlns:a16="http://schemas.microsoft.com/office/drawing/2014/main" id="{75A47529-66E7-4952-BA6F-82BAB5268988}"/>
            </a:ext>
          </a:extLst>
        </xdr:cNvPr>
        <xdr:cNvPicPr>
          <a:picLocks noChangeAspect="1"/>
        </xdr:cNvPicPr>
      </xdr:nvPicPr>
      <xdr:blipFill>
        <a:blip xmlns:r="http://schemas.openxmlformats.org/officeDocument/2006/relationships" r:embed="rId5"/>
        <a:stretch>
          <a:fillRect/>
        </a:stretch>
      </xdr:blipFill>
      <xdr:spPr>
        <a:xfrm>
          <a:off x="13849350" y="16719146"/>
          <a:ext cx="1984015" cy="921292"/>
        </a:xfrm>
        <a:prstGeom prst="rect">
          <a:avLst/>
        </a:prstGeom>
      </xdr:spPr>
    </xdr:pic>
    <xdr:clientData/>
  </xdr:twoCellAnchor>
  <xdr:twoCellAnchor editAs="oneCell">
    <xdr:from>
      <xdr:col>22</xdr:col>
      <xdr:colOff>495300</xdr:colOff>
      <xdr:row>95</xdr:row>
      <xdr:rowOff>180109</xdr:rowOff>
    </xdr:from>
    <xdr:to>
      <xdr:col>25</xdr:col>
      <xdr:colOff>249383</xdr:colOff>
      <xdr:row>100</xdr:row>
      <xdr:rowOff>19513</xdr:rowOff>
    </xdr:to>
    <xdr:pic>
      <xdr:nvPicPr>
        <xdr:cNvPr id="41" name="Obrázek 95">
          <a:extLst>
            <a:ext uri="{FF2B5EF4-FFF2-40B4-BE49-F238E27FC236}">
              <a16:creationId xmlns:a16="http://schemas.microsoft.com/office/drawing/2014/main" id="{D3485292-A5B9-44B4-888B-0DFD1CDB96D6}"/>
            </a:ext>
          </a:extLst>
        </xdr:cNvPr>
        <xdr:cNvPicPr>
          <a:picLocks noChangeAspect="1"/>
        </xdr:cNvPicPr>
      </xdr:nvPicPr>
      <xdr:blipFill>
        <a:blip xmlns:r="http://schemas.openxmlformats.org/officeDocument/2006/relationships" r:embed="rId6"/>
        <a:stretch>
          <a:fillRect/>
        </a:stretch>
      </xdr:blipFill>
      <xdr:spPr>
        <a:xfrm>
          <a:off x="16192500" y="17704204"/>
          <a:ext cx="1579073" cy="799524"/>
        </a:xfrm>
        <a:prstGeom prst="rect">
          <a:avLst/>
        </a:prstGeom>
      </xdr:spPr>
    </xdr:pic>
    <xdr:clientData/>
  </xdr:twoCellAnchor>
  <xdr:twoCellAnchor>
    <xdr:from>
      <xdr:col>15</xdr:col>
      <xdr:colOff>480059</xdr:colOff>
      <xdr:row>96</xdr:row>
      <xdr:rowOff>144780</xdr:rowOff>
    </xdr:from>
    <xdr:to>
      <xdr:col>17</xdr:col>
      <xdr:colOff>498762</xdr:colOff>
      <xdr:row>102</xdr:row>
      <xdr:rowOff>65372</xdr:rowOff>
    </xdr:to>
    <xdr:pic>
      <xdr:nvPicPr>
        <xdr:cNvPr id="42" name="Obrázek 99">
          <a:extLst>
            <a:ext uri="{FF2B5EF4-FFF2-40B4-BE49-F238E27FC236}">
              <a16:creationId xmlns:a16="http://schemas.microsoft.com/office/drawing/2014/main" id="{411CA200-8D1F-4483-9014-43B70B2012C7}"/>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01474" y="17859375"/>
          <a:ext cx="1241713" cy="105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536666</xdr:colOff>
      <xdr:row>95</xdr:row>
      <xdr:rowOff>149430</xdr:rowOff>
    </xdr:from>
    <xdr:to>
      <xdr:col>21</xdr:col>
      <xdr:colOff>54429</xdr:colOff>
      <xdr:row>104</xdr:row>
      <xdr:rowOff>26421</xdr:rowOff>
    </xdr:to>
    <xdr:pic>
      <xdr:nvPicPr>
        <xdr:cNvPr id="43" name="Obrázek 101">
          <a:extLst>
            <a:ext uri="{FF2B5EF4-FFF2-40B4-BE49-F238E27FC236}">
              <a16:creationId xmlns:a16="http://schemas.microsoft.com/office/drawing/2014/main" id="{2B5BF593-8031-4D1F-BD83-82DEC5BC2201}"/>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71641" y="17675430"/>
          <a:ext cx="1474198" cy="1635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91</xdr:row>
      <xdr:rowOff>0</xdr:rowOff>
    </xdr:from>
    <xdr:to>
      <xdr:col>44</xdr:col>
      <xdr:colOff>135255</xdr:colOff>
      <xdr:row>111</xdr:row>
      <xdr:rowOff>21259</xdr:rowOff>
    </xdr:to>
    <xdr:pic>
      <xdr:nvPicPr>
        <xdr:cNvPr id="44" name="Obrázek 103">
          <a:extLst>
            <a:ext uri="{FF2B5EF4-FFF2-40B4-BE49-F238E27FC236}">
              <a16:creationId xmlns:a16="http://schemas.microsoft.com/office/drawing/2014/main" id="{347460EF-1806-4F00-B8BD-8CFA5329C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83600" y="16754475"/>
          <a:ext cx="8056245" cy="3827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0.8697</cdr:x>
      <cdr:y>0.0713</cdr:y>
    </cdr:from>
    <cdr:to>
      <cdr:x>1</cdr:x>
      <cdr:y>0.15556</cdr:y>
    </cdr:to>
    <cdr:sp macro="" textlink="">
      <cdr:nvSpPr>
        <cdr:cNvPr id="2" name="Textové pole 350">
          <a:extLst xmlns:a="http://schemas.openxmlformats.org/drawingml/2006/main">
            <a:ext uri="{FF2B5EF4-FFF2-40B4-BE49-F238E27FC236}">
              <a16:creationId xmlns:a16="http://schemas.microsoft.com/office/drawing/2014/main" id="{D2A30DDC-16E6-4A71-B80A-481AD03B3A57}"/>
            </a:ext>
          </a:extLst>
        </cdr:cNvPr>
        <cdr:cNvSpPr txBox="1"/>
      </cdr:nvSpPr>
      <cdr:spPr>
        <a:xfrm xmlns:a="http://schemas.openxmlformats.org/drawingml/2006/main">
          <a:off x="4373880" y="195580"/>
          <a:ext cx="655320" cy="231140"/>
        </a:xfrm>
        <a:prstGeom xmlns:a="http://schemas.openxmlformats.org/drawingml/2006/main" prst="rect">
          <a:avLst/>
        </a:prstGeom>
        <a:solidFill xmlns:a="http://schemas.openxmlformats.org/drawingml/2006/main">
          <a:schemeClr val="lt1"/>
        </a:solidFill>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cdr:x>
      <cdr:y>0.01852</cdr:y>
    </cdr:from>
    <cdr:to>
      <cdr:x>0.04489</cdr:x>
      <cdr:y>0.10479</cdr:y>
    </cdr:to>
    <cdr:sp macro="" textlink="">
      <cdr:nvSpPr>
        <cdr:cNvPr id="3" name="Textové pole 350">
          <a:extLst xmlns:a="http://schemas.openxmlformats.org/drawingml/2006/main">
            <a:ext uri="{FF2B5EF4-FFF2-40B4-BE49-F238E27FC236}">
              <a16:creationId xmlns:a16="http://schemas.microsoft.com/office/drawing/2014/main" id="{D2A30DDC-16E6-4A71-B80A-481AD03B3A57}"/>
            </a:ext>
          </a:extLst>
        </cdr:cNvPr>
        <cdr:cNvSpPr txBox="1"/>
      </cdr:nvSpPr>
      <cdr:spPr>
        <a:xfrm xmlns:a="http://schemas.openxmlformats.org/drawingml/2006/main">
          <a:off x="0" y="70787"/>
          <a:ext cx="331695" cy="329767"/>
        </a:xfrm>
        <a:prstGeom xmlns:a="http://schemas.openxmlformats.org/drawingml/2006/main" prst="rect">
          <a:avLst/>
        </a:prstGeom>
        <a:solidFill xmlns:a="http://schemas.openxmlformats.org/drawingml/2006/main">
          <a:schemeClr val="lt1"/>
        </a:solidFill>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800"/>
            </a:spcAft>
          </a:pPr>
          <a:r>
            <a:rPr lang="cs-CZ" sz="800">
              <a:effectLst/>
              <a:latin typeface="Times New Roman" panose="02020603050405020304" pitchFamily="18" charset="0"/>
              <a:ea typeface="Times New Roman" panose="02020603050405020304" pitchFamily="18" charset="0"/>
              <a:cs typeface="Times New Roman" panose="02020603050405020304" pitchFamily="18" charset="0"/>
            </a:rPr>
            <a:t>AE</a:t>
          </a:r>
          <a:endParaRPr lang="cs-CZ" sz="11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0.8892</cdr:x>
      <cdr:y>0.91373</cdr:y>
    </cdr:from>
    <cdr:to>
      <cdr:x>0.94602</cdr:x>
      <cdr:y>1</cdr:y>
    </cdr:to>
    <cdr:sp macro="" textlink="">
      <cdr:nvSpPr>
        <cdr:cNvPr id="4" name="Textové pole 351">
          <a:extLst xmlns:a="http://schemas.openxmlformats.org/drawingml/2006/main">
            <a:ext uri="{FF2B5EF4-FFF2-40B4-BE49-F238E27FC236}">
              <a16:creationId xmlns:a16="http://schemas.microsoft.com/office/drawing/2014/main" id="{E0377ED8-F83E-4FB1-A0A1-D4A99079857A}"/>
            </a:ext>
          </a:extLst>
        </cdr:cNvPr>
        <cdr:cNvSpPr txBox="1"/>
      </cdr:nvSpPr>
      <cdr:spPr>
        <a:xfrm xmlns:a="http://schemas.openxmlformats.org/drawingml/2006/main">
          <a:off x="4770120" y="2910381"/>
          <a:ext cx="304800" cy="274779"/>
        </a:xfrm>
        <a:prstGeom xmlns:a="http://schemas.openxmlformats.org/drawingml/2006/main" prst="rect">
          <a:avLst/>
        </a:prstGeom>
        <a:solidFill xmlns:a="http://schemas.openxmlformats.org/drawingml/2006/main">
          <a:schemeClr val="lt1"/>
        </a:solidFill>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0.46533</cdr:x>
      <cdr:y>0.53108</cdr:y>
    </cdr:from>
    <cdr:to>
      <cdr:x>0.46716</cdr:x>
      <cdr:y>0.88478</cdr:y>
    </cdr:to>
    <cdr:cxnSp macro="">
      <cdr:nvCxnSpPr>
        <cdr:cNvPr id="6" name="Přímá spojnice 5">
          <a:extLst xmlns:a="http://schemas.openxmlformats.org/drawingml/2006/main">
            <a:ext uri="{FF2B5EF4-FFF2-40B4-BE49-F238E27FC236}">
              <a16:creationId xmlns:a16="http://schemas.microsoft.com/office/drawing/2014/main" id="{3000BA0E-0D25-4238-BF15-A91F71F0B050}"/>
            </a:ext>
          </a:extLst>
        </cdr:cNvPr>
        <cdr:cNvCxnSpPr/>
      </cdr:nvCxnSpPr>
      <cdr:spPr>
        <a:xfrm xmlns:a="http://schemas.openxmlformats.org/drawingml/2006/main">
          <a:off x="3871044" y="2196737"/>
          <a:ext cx="15156" cy="146304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0.8877</cdr:x>
      <cdr:y>0.01417</cdr:y>
    </cdr:from>
    <cdr:to>
      <cdr:x>0.92304</cdr:x>
      <cdr:y>0.05088</cdr:y>
    </cdr:to>
    <cdr:sp macro="" textlink="">
      <cdr:nvSpPr>
        <cdr:cNvPr id="2" name="Textové pole 350">
          <a:extLst xmlns:a="http://schemas.openxmlformats.org/drawingml/2006/main">
            <a:ext uri="{FF2B5EF4-FFF2-40B4-BE49-F238E27FC236}">
              <a16:creationId xmlns:a16="http://schemas.microsoft.com/office/drawing/2014/main" id="{ACDFB8F0-A272-46B2-9D5B-29E3A1051D5A}"/>
            </a:ext>
          </a:extLst>
        </cdr:cNvPr>
        <cdr:cNvSpPr txBox="1"/>
      </cdr:nvSpPr>
      <cdr:spPr>
        <a:xfrm xmlns:a="http://schemas.openxmlformats.org/drawingml/2006/main">
          <a:off x="12311044" y="109165"/>
          <a:ext cx="490069" cy="282746"/>
        </a:xfrm>
        <a:prstGeom xmlns:a="http://schemas.openxmlformats.org/drawingml/2006/main" prst="rect">
          <a:avLst/>
        </a:prstGeom>
        <a:solidFill xmlns:a="http://schemas.openxmlformats.org/drawingml/2006/main">
          <a:schemeClr val="lt1"/>
        </a:solidFill>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0.87213</cdr:x>
      <cdr:y>0.11691</cdr:y>
    </cdr:from>
    <cdr:to>
      <cdr:x>0.87213</cdr:x>
      <cdr:y>0.87903</cdr:y>
    </cdr:to>
    <cdr:cxnSp macro="">
      <cdr:nvCxnSpPr>
        <cdr:cNvPr id="4" name="Přímá spojnice 3">
          <a:extLst xmlns:a="http://schemas.openxmlformats.org/drawingml/2006/main">
            <a:ext uri="{FF2B5EF4-FFF2-40B4-BE49-F238E27FC236}">
              <a16:creationId xmlns:a16="http://schemas.microsoft.com/office/drawing/2014/main" id="{692954F8-EC9B-42BD-A737-99640ADC7F49}"/>
            </a:ext>
          </a:extLst>
        </cdr:cNvPr>
        <cdr:cNvCxnSpPr/>
      </cdr:nvCxnSpPr>
      <cdr:spPr>
        <a:xfrm xmlns:a="http://schemas.openxmlformats.org/drawingml/2006/main">
          <a:off x="12095019" y="900547"/>
          <a:ext cx="0" cy="5870764"/>
        </a:xfrm>
        <a:prstGeom xmlns:a="http://schemas.openxmlformats.org/drawingml/2006/main" prst="line">
          <a:avLst/>
        </a:prstGeom>
        <a:ln xmlns:a="http://schemas.openxmlformats.org/drawingml/2006/mai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0.75909</cdr:x>
      <cdr:y>0.22302</cdr:y>
    </cdr:from>
    <cdr:to>
      <cdr:x>0.75909</cdr:x>
      <cdr:y>0.87122</cdr:y>
    </cdr:to>
    <cdr:cxnSp macro="">
      <cdr:nvCxnSpPr>
        <cdr:cNvPr id="6" name="Přímá spojnice 5">
          <a:extLst xmlns:a="http://schemas.openxmlformats.org/drawingml/2006/main">
            <a:ext uri="{FF2B5EF4-FFF2-40B4-BE49-F238E27FC236}">
              <a16:creationId xmlns:a16="http://schemas.microsoft.com/office/drawing/2014/main" id="{6D70B973-95FE-4E99-BC84-9AB189022CFE}"/>
            </a:ext>
          </a:extLst>
        </cdr:cNvPr>
        <cdr:cNvCxnSpPr/>
      </cdr:nvCxnSpPr>
      <cdr:spPr>
        <a:xfrm xmlns:a="http://schemas.openxmlformats.org/drawingml/2006/main" flipH="1">
          <a:off x="10527325" y="1717965"/>
          <a:ext cx="0" cy="4993154"/>
        </a:xfrm>
        <a:prstGeom xmlns:a="http://schemas.openxmlformats.org/drawingml/2006/main" prst="line">
          <a:avLst/>
        </a:prstGeom>
        <a:ln xmlns:a="http://schemas.openxmlformats.org/drawingml/2006/main">
          <a:solidFill>
            <a:schemeClr val="tx1">
              <a:lumMod val="65000"/>
              <a:lumOff val="3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0.91968</cdr:x>
      <cdr:y>0.95019</cdr:y>
    </cdr:from>
    <cdr:to>
      <cdr:x>0.95044</cdr:x>
      <cdr:y>0.99373</cdr:y>
    </cdr:to>
    <cdr:sp macro="" textlink="">
      <cdr:nvSpPr>
        <cdr:cNvPr id="15" name="Textové pole 351">
          <a:extLst xmlns:a="http://schemas.openxmlformats.org/drawingml/2006/main">
            <a:ext uri="{FF2B5EF4-FFF2-40B4-BE49-F238E27FC236}">
              <a16:creationId xmlns:a16="http://schemas.microsoft.com/office/drawing/2014/main" id="{C0281CFB-F3FA-47F3-837A-ADC6C5B09262}"/>
            </a:ext>
          </a:extLst>
        </cdr:cNvPr>
        <cdr:cNvSpPr txBox="1"/>
      </cdr:nvSpPr>
      <cdr:spPr>
        <a:xfrm xmlns:a="http://schemas.openxmlformats.org/drawingml/2006/main">
          <a:off x="12754429" y="7507514"/>
          <a:ext cx="426616" cy="344008"/>
        </a:xfrm>
        <a:prstGeom xmlns:a="http://schemas.openxmlformats.org/drawingml/2006/main" prst="rect">
          <a:avLst/>
        </a:prstGeom>
        <a:solidFill xmlns:a="http://schemas.openxmlformats.org/drawingml/2006/main">
          <a:schemeClr val="lt1"/>
        </a:solidFill>
        <a:ln xmlns:a="http://schemas.openxmlformats.org/drawingml/2006/main" w="6350">
          <a:noFill/>
        </a:l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makro%20cvic%20final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 1"/>
      <sheetName val="CSU HDP a zložky"/>
      <sheetName val="vzorce"/>
      <sheetName val="ASAD"/>
      <sheetName val="peniaze"/>
      <sheetName val="Inflácia"/>
      <sheetName val="nezamestnanost"/>
      <sheetName val="2výd model"/>
      <sheetName val="mon pol"/>
      <sheetName val="medz obchod"/>
      <sheetName val="plat bil"/>
      <sheetName val="fisk pol"/>
      <sheetName val="menvy kurz"/>
      <sheetName val="príklady na test"/>
      <sheetName val="platobná bilancia"/>
    </sheetNames>
    <sheetDataSet>
      <sheetData sheetId="0"/>
      <sheetData sheetId="1"/>
      <sheetData sheetId="2"/>
      <sheetData sheetId="3"/>
      <sheetData sheetId="4"/>
      <sheetData sheetId="5"/>
      <sheetData sheetId="6"/>
      <sheetData sheetId="7">
        <row r="27">
          <cell r="N27">
            <v>0</v>
          </cell>
          <cell r="O27">
            <v>0</v>
          </cell>
          <cell r="P27">
            <v>30</v>
          </cell>
          <cell r="AB27" t="str">
            <v>AE=Y</v>
          </cell>
        </row>
        <row r="28">
          <cell r="N28">
            <v>10</v>
          </cell>
          <cell r="O28">
            <v>10</v>
          </cell>
          <cell r="P28">
            <v>38</v>
          </cell>
          <cell r="AA28">
            <v>0</v>
          </cell>
          <cell r="AB28">
            <v>0</v>
          </cell>
          <cell r="AC28">
            <v>30</v>
          </cell>
          <cell r="AD28">
            <v>26</v>
          </cell>
        </row>
        <row r="29">
          <cell r="N29">
            <v>20</v>
          </cell>
          <cell r="O29">
            <v>20</v>
          </cell>
          <cell r="P29">
            <v>46</v>
          </cell>
          <cell r="AA29">
            <v>10</v>
          </cell>
          <cell r="AB29">
            <v>10</v>
          </cell>
          <cell r="AC29">
            <v>38</v>
          </cell>
          <cell r="AD29">
            <v>34</v>
          </cell>
        </row>
        <row r="30">
          <cell r="N30">
            <v>30</v>
          </cell>
          <cell r="O30">
            <v>30</v>
          </cell>
          <cell r="P30">
            <v>54</v>
          </cell>
          <cell r="AA30">
            <v>20</v>
          </cell>
          <cell r="AB30">
            <v>20</v>
          </cell>
          <cell r="AC30">
            <v>46</v>
          </cell>
          <cell r="AD30">
            <v>42</v>
          </cell>
        </row>
        <row r="31">
          <cell r="N31">
            <v>40</v>
          </cell>
          <cell r="O31">
            <v>40</v>
          </cell>
          <cell r="P31">
            <v>62</v>
          </cell>
          <cell r="AA31">
            <v>30</v>
          </cell>
          <cell r="AB31">
            <v>30</v>
          </cell>
          <cell r="AC31">
            <v>54</v>
          </cell>
          <cell r="AD31">
            <v>50</v>
          </cell>
        </row>
        <row r="32">
          <cell r="N32">
            <v>50</v>
          </cell>
          <cell r="O32">
            <v>50</v>
          </cell>
          <cell r="P32">
            <v>70</v>
          </cell>
          <cell r="AA32">
            <v>40</v>
          </cell>
          <cell r="AB32">
            <v>40</v>
          </cell>
          <cell r="AC32">
            <v>62</v>
          </cell>
          <cell r="AD32">
            <v>58</v>
          </cell>
        </row>
        <row r="33">
          <cell r="N33">
            <v>60</v>
          </cell>
          <cell r="O33">
            <v>60</v>
          </cell>
          <cell r="P33">
            <v>78</v>
          </cell>
          <cell r="AA33">
            <v>50</v>
          </cell>
          <cell r="AB33">
            <v>50</v>
          </cell>
          <cell r="AC33">
            <v>70</v>
          </cell>
          <cell r="AD33">
            <v>66</v>
          </cell>
        </row>
        <row r="34">
          <cell r="N34">
            <v>100</v>
          </cell>
          <cell r="O34">
            <v>100</v>
          </cell>
          <cell r="P34">
            <v>110</v>
          </cell>
          <cell r="AA34">
            <v>60</v>
          </cell>
          <cell r="AB34">
            <v>60</v>
          </cell>
          <cell r="AC34">
            <v>78</v>
          </cell>
          <cell r="AD34">
            <v>74</v>
          </cell>
        </row>
        <row r="35">
          <cell r="N35">
            <v>200</v>
          </cell>
          <cell r="O35">
            <v>200</v>
          </cell>
          <cell r="P35">
            <v>190</v>
          </cell>
          <cell r="AA35">
            <v>100</v>
          </cell>
          <cell r="AB35">
            <v>100</v>
          </cell>
          <cell r="AC35">
            <v>110</v>
          </cell>
          <cell r="AD35">
            <v>106</v>
          </cell>
        </row>
        <row r="36">
          <cell r="N36">
            <v>300</v>
          </cell>
          <cell r="O36">
            <v>300</v>
          </cell>
          <cell r="P36">
            <v>270</v>
          </cell>
          <cell r="AA36">
            <v>200</v>
          </cell>
          <cell r="AB36">
            <v>200</v>
          </cell>
          <cell r="AC36">
            <v>190</v>
          </cell>
          <cell r="AD36">
            <v>186</v>
          </cell>
        </row>
        <row r="37">
          <cell r="AA37">
            <v>300</v>
          </cell>
          <cell r="AB37">
            <v>300</v>
          </cell>
          <cell r="AC37">
            <v>270</v>
          </cell>
          <cell r="AD37">
            <v>266</v>
          </cell>
        </row>
        <row r="38">
          <cell r="AA38">
            <v>130</v>
          </cell>
          <cell r="AB38">
            <v>130</v>
          </cell>
          <cell r="AC38">
            <v>134</v>
          </cell>
          <cell r="AD38">
            <v>130</v>
          </cell>
        </row>
        <row r="39">
          <cell r="AA39">
            <v>150</v>
          </cell>
          <cell r="AB39">
            <v>150</v>
          </cell>
          <cell r="AC39">
            <v>150</v>
          </cell>
          <cell r="AD39">
            <v>146</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E7D09-8C9A-4533-97FF-5EEF40CDB776}">
  <dimension ref="A1:O22"/>
  <sheetViews>
    <sheetView zoomScale="190" zoomScaleNormal="190" workbookViewId="0">
      <selection activeCell="C39" sqref="C39:D62"/>
    </sheetView>
  </sheetViews>
  <sheetFormatPr defaultRowHeight="14.4" x14ac:dyDescent="0.3"/>
  <cols>
    <col min="1" max="1" width="11" customWidth="1"/>
    <col min="2" max="2" width="14.5546875" customWidth="1"/>
    <col min="8" max="13" width="9.88671875" bestFit="1" customWidth="1"/>
    <col min="14" max="14" width="12.109375" customWidth="1"/>
  </cols>
  <sheetData>
    <row r="1" spans="1:15" x14ac:dyDescent="0.3">
      <c r="C1" s="1">
        <v>2009</v>
      </c>
      <c r="D1" s="1">
        <v>2010</v>
      </c>
      <c r="E1" s="1">
        <v>2011</v>
      </c>
      <c r="F1" s="1">
        <v>2012</v>
      </c>
      <c r="G1" s="1">
        <v>2013</v>
      </c>
      <c r="H1" s="1">
        <v>2014</v>
      </c>
      <c r="I1" s="1">
        <v>2015</v>
      </c>
      <c r="J1" s="1">
        <v>2016</v>
      </c>
      <c r="K1" s="1">
        <v>2017</v>
      </c>
      <c r="L1" s="1">
        <v>2018</v>
      </c>
      <c r="M1" s="1">
        <v>2019</v>
      </c>
    </row>
    <row r="2" spans="1:15" x14ac:dyDescent="0.3">
      <c r="A2" t="s">
        <v>203</v>
      </c>
      <c r="C2">
        <v>871572</v>
      </c>
      <c r="D2">
        <v>878294</v>
      </c>
      <c r="E2">
        <v>847465</v>
      </c>
      <c r="F2">
        <v>831091</v>
      </c>
      <c r="G2">
        <v>851166</v>
      </c>
      <c r="H2">
        <v>859692</v>
      </c>
      <c r="I2">
        <v>874902</v>
      </c>
      <c r="J2">
        <v>897091</v>
      </c>
      <c r="K2">
        <v>913266</v>
      </c>
      <c r="L2">
        <v>948108</v>
      </c>
      <c r="M2">
        <v>968796</v>
      </c>
    </row>
    <row r="3" spans="1:15" x14ac:dyDescent="0.3">
      <c r="A3" t="s">
        <v>204</v>
      </c>
      <c r="C3">
        <v>1129491</v>
      </c>
      <c r="D3">
        <v>1133435</v>
      </c>
      <c r="E3">
        <v>1145420</v>
      </c>
      <c r="F3">
        <v>1107296</v>
      </c>
      <c r="G3">
        <v>1083316</v>
      </c>
      <c r="H3">
        <v>1118567</v>
      </c>
      <c r="I3">
        <v>1227485</v>
      </c>
      <c r="J3">
        <v>1190324</v>
      </c>
      <c r="K3">
        <v>1248362</v>
      </c>
      <c r="L3">
        <v>1373550</v>
      </c>
      <c r="M3">
        <v>1405256</v>
      </c>
    </row>
    <row r="4" spans="1:15" x14ac:dyDescent="0.3">
      <c r="A4" t="s">
        <v>205</v>
      </c>
      <c r="C4">
        <v>2012738</v>
      </c>
      <c r="D4">
        <v>2040825</v>
      </c>
      <c r="E4">
        <v>2048627</v>
      </c>
      <c r="F4">
        <v>2026013</v>
      </c>
      <c r="G4">
        <v>2043270</v>
      </c>
      <c r="H4">
        <v>2071412</v>
      </c>
      <c r="I4">
        <v>2152039</v>
      </c>
      <c r="J4">
        <v>2231832</v>
      </c>
      <c r="K4">
        <v>2319526</v>
      </c>
      <c r="L4">
        <v>2396584</v>
      </c>
      <c r="M4" s="18">
        <v>2466666</v>
      </c>
    </row>
    <row r="5" spans="1:15" x14ac:dyDescent="0.3">
      <c r="A5" t="s">
        <v>206</v>
      </c>
      <c r="C5" s="79">
        <v>-36054</v>
      </c>
      <c r="D5" s="79">
        <v>4886</v>
      </c>
      <c r="E5" s="79">
        <v>14066</v>
      </c>
      <c r="F5" s="79">
        <v>2351</v>
      </c>
      <c r="G5" s="79">
        <v>-20118</v>
      </c>
      <c r="H5" s="79">
        <v>20542</v>
      </c>
      <c r="I5" s="79">
        <v>61320</v>
      </c>
      <c r="J5" s="79">
        <v>44528</v>
      </c>
      <c r="K5" s="79">
        <v>68652</v>
      </c>
      <c r="L5" s="79">
        <v>39990</v>
      </c>
      <c r="M5" s="79">
        <v>30937</v>
      </c>
      <c r="O5" t="s">
        <v>207</v>
      </c>
    </row>
    <row r="6" spans="1:15" x14ac:dyDescent="0.3">
      <c r="A6" s="80" t="s">
        <v>208</v>
      </c>
      <c r="B6" s="80"/>
      <c r="C6" s="80">
        <v>2495369</v>
      </c>
      <c r="D6" s="80">
        <v>2864457</v>
      </c>
      <c r="E6" s="80">
        <v>3125604</v>
      </c>
      <c r="F6" s="80">
        <v>3256940</v>
      </c>
      <c r="G6" s="80">
        <v>3267955</v>
      </c>
      <c r="H6" s="80">
        <v>3551989</v>
      </c>
      <c r="I6" s="80">
        <v>3770768</v>
      </c>
      <c r="J6" s="80">
        <v>3933027</v>
      </c>
      <c r="K6" s="80">
        <v>4218372</v>
      </c>
      <c r="L6" s="80">
        <v>4378233</v>
      </c>
      <c r="M6" s="81">
        <v>4437062</v>
      </c>
      <c r="O6">
        <f>MAX(M2:M5,M8)</f>
        <v>2466666</v>
      </c>
    </row>
    <row r="7" spans="1:15" x14ac:dyDescent="0.3">
      <c r="A7" s="80" t="s">
        <v>209</v>
      </c>
      <c r="B7" s="80"/>
      <c r="C7" s="80">
        <v>2358580</v>
      </c>
      <c r="D7" s="80">
        <v>2711172</v>
      </c>
      <c r="E7" s="80">
        <v>2892721</v>
      </c>
      <c r="F7" s="80">
        <v>2967102</v>
      </c>
      <c r="G7" s="80">
        <v>2971476</v>
      </c>
      <c r="H7" s="80">
        <v>3267963</v>
      </c>
      <c r="I7" s="80">
        <v>3495933</v>
      </c>
      <c r="J7" s="80">
        <v>3594049</v>
      </c>
      <c r="K7" s="80">
        <v>3821393</v>
      </c>
      <c r="L7" s="80">
        <v>4044849</v>
      </c>
      <c r="M7" s="80">
        <v>4102391</v>
      </c>
    </row>
    <row r="8" spans="1:15" x14ac:dyDescent="0.3">
      <c r="B8" t="s">
        <v>101</v>
      </c>
      <c r="C8" s="1">
        <f>C6-C7</f>
        <v>136789</v>
      </c>
      <c r="D8" s="1">
        <f t="shared" ref="D8:M8" si="0">D6-D7</f>
        <v>153285</v>
      </c>
      <c r="E8" s="1">
        <f t="shared" si="0"/>
        <v>232883</v>
      </c>
      <c r="F8" s="1">
        <f t="shared" si="0"/>
        <v>289838</v>
      </c>
      <c r="G8" s="1">
        <f t="shared" si="0"/>
        <v>296479</v>
      </c>
      <c r="H8" s="1">
        <f t="shared" si="0"/>
        <v>284026</v>
      </c>
      <c r="I8" s="1">
        <f t="shared" si="0"/>
        <v>274835</v>
      </c>
      <c r="J8" s="1">
        <f t="shared" si="0"/>
        <v>338978</v>
      </c>
      <c r="K8" s="1">
        <f t="shared" si="0"/>
        <v>396979</v>
      </c>
      <c r="L8" s="1">
        <f t="shared" si="0"/>
        <v>333384</v>
      </c>
      <c r="M8" s="19">
        <f t="shared" si="0"/>
        <v>334671</v>
      </c>
    </row>
    <row r="11" spans="1:15" ht="14.4" customHeight="1" x14ac:dyDescent="0.3"/>
    <row r="12" spans="1:15" x14ac:dyDescent="0.3">
      <c r="A12" t="s">
        <v>210</v>
      </c>
    </row>
    <row r="13" spans="1:15" x14ac:dyDescent="0.3">
      <c r="A13" t="s">
        <v>79</v>
      </c>
    </row>
    <row r="14" spans="1:15" x14ac:dyDescent="0.3">
      <c r="A14" s="82" t="s">
        <v>211</v>
      </c>
      <c r="B14" s="83"/>
      <c r="C14" s="84">
        <v>2009</v>
      </c>
      <c r="D14" s="84">
        <v>2010</v>
      </c>
      <c r="E14" s="84">
        <v>2011</v>
      </c>
      <c r="F14" s="84">
        <v>2012</v>
      </c>
      <c r="G14" s="84">
        <v>2013</v>
      </c>
      <c r="H14" s="84">
        <v>2014</v>
      </c>
      <c r="I14" s="84">
        <v>2015</v>
      </c>
      <c r="J14" s="84">
        <v>2016</v>
      </c>
      <c r="K14" s="84">
        <v>2017</v>
      </c>
      <c r="L14" s="84">
        <v>2018</v>
      </c>
      <c r="M14" s="84">
        <v>2019</v>
      </c>
    </row>
    <row r="15" spans="1:15" x14ac:dyDescent="0.3">
      <c r="A15" s="85" t="s">
        <v>212</v>
      </c>
      <c r="B15" s="83"/>
      <c r="C15" s="79">
        <v>9298076</v>
      </c>
      <c r="D15" s="79">
        <v>9725227</v>
      </c>
      <c r="E15" s="79">
        <v>9983549</v>
      </c>
      <c r="F15" s="79">
        <v>9758838</v>
      </c>
      <c r="G15" s="79">
        <v>9754077</v>
      </c>
      <c r="H15" s="79">
        <v>10115629</v>
      </c>
      <c r="I15" s="79">
        <v>10634751</v>
      </c>
      <c r="J15" s="79">
        <v>10917190</v>
      </c>
      <c r="K15" s="79">
        <v>11564120</v>
      </c>
      <c r="L15" s="79">
        <v>12036292</v>
      </c>
      <c r="M15" s="79">
        <v>12299290</v>
      </c>
    </row>
    <row r="16" spans="1:15" x14ac:dyDescent="0.3">
      <c r="A16" s="85" t="s">
        <v>213</v>
      </c>
      <c r="B16" s="83"/>
      <c r="C16" s="79">
        <v>5579240</v>
      </c>
      <c r="D16" s="79">
        <v>5895660</v>
      </c>
      <c r="E16" s="79">
        <v>6086153</v>
      </c>
      <c r="F16" s="79">
        <v>5896855</v>
      </c>
      <c r="G16" s="79">
        <v>5892780</v>
      </c>
      <c r="H16" s="79">
        <v>6142380</v>
      </c>
      <c r="I16" s="79">
        <v>6469577</v>
      </c>
      <c r="J16" s="79">
        <v>6647958</v>
      </c>
      <c r="K16" s="79">
        <v>7073841</v>
      </c>
      <c r="L16" s="79">
        <v>7395050</v>
      </c>
      <c r="M16" s="79">
        <v>7556068</v>
      </c>
    </row>
    <row r="17" spans="1:13" x14ac:dyDescent="0.3">
      <c r="A17" s="85" t="s">
        <v>214</v>
      </c>
      <c r="B17" s="83"/>
      <c r="C17" s="79">
        <v>3717603</v>
      </c>
      <c r="D17" s="79">
        <v>3829223</v>
      </c>
      <c r="E17" s="79">
        <v>3896473</v>
      </c>
      <c r="F17" s="79">
        <v>3863790</v>
      </c>
      <c r="G17" s="79">
        <v>3863175</v>
      </c>
      <c r="H17" s="79">
        <v>3973593</v>
      </c>
      <c r="I17" s="79">
        <v>4165174</v>
      </c>
      <c r="J17" s="79">
        <v>4269232</v>
      </c>
      <c r="K17" s="79">
        <v>4491268</v>
      </c>
      <c r="L17" s="79">
        <v>4643301</v>
      </c>
      <c r="M17" s="79">
        <v>4745299</v>
      </c>
    </row>
    <row r="18" spans="1:13" x14ac:dyDescent="0.3">
      <c r="A18" s="85" t="s">
        <v>215</v>
      </c>
      <c r="B18" s="83"/>
      <c r="C18" s="79">
        <v>533610</v>
      </c>
      <c r="D18" s="79">
        <v>520926</v>
      </c>
      <c r="E18" s="79">
        <v>527240</v>
      </c>
      <c r="F18" s="79">
        <v>518165</v>
      </c>
      <c r="G18" s="79">
        <v>511372</v>
      </c>
      <c r="H18" s="79">
        <v>499982</v>
      </c>
      <c r="I18" s="79">
        <v>546676</v>
      </c>
      <c r="J18" s="79">
        <v>562630</v>
      </c>
      <c r="K18" s="79">
        <v>588096</v>
      </c>
      <c r="L18" s="79">
        <v>596551</v>
      </c>
      <c r="M18" s="79">
        <v>615653</v>
      </c>
    </row>
    <row r="19" spans="1:13" x14ac:dyDescent="0.3">
      <c r="A19" s="85" t="s">
        <v>216</v>
      </c>
      <c r="B19" s="83"/>
      <c r="C19" s="79">
        <v>-99390</v>
      </c>
      <c r="D19" s="79">
        <v>-102742</v>
      </c>
      <c r="E19" s="79">
        <v>-99266</v>
      </c>
      <c r="F19" s="79">
        <v>-89614</v>
      </c>
      <c r="G19" s="79">
        <v>-83459</v>
      </c>
      <c r="H19" s="79">
        <v>-84665</v>
      </c>
      <c r="I19" s="79">
        <v>-86472</v>
      </c>
      <c r="J19" s="79">
        <v>-89125</v>
      </c>
      <c r="K19" s="79">
        <v>-91435</v>
      </c>
      <c r="L19" s="79">
        <v>-92187</v>
      </c>
      <c r="M19" s="79">
        <v>-94199</v>
      </c>
    </row>
    <row r="20" spans="1:13" x14ac:dyDescent="0.3">
      <c r="A20" s="86" t="s">
        <v>217</v>
      </c>
      <c r="B20" s="87"/>
      <c r="C20" s="88">
        <v>4151789</v>
      </c>
      <c r="D20" s="88">
        <v>4252881</v>
      </c>
      <c r="E20" s="88">
        <v>4327747</v>
      </c>
      <c r="F20" s="88">
        <v>4293774</v>
      </c>
      <c r="G20" s="88">
        <v>4291803</v>
      </c>
      <c r="H20" s="88">
        <v>4388888</v>
      </c>
      <c r="I20" s="88">
        <v>4625378</v>
      </c>
      <c r="J20" s="88">
        <v>4742737</v>
      </c>
      <c r="K20" s="88">
        <v>4987876</v>
      </c>
      <c r="L20" s="88">
        <v>5147421</v>
      </c>
      <c r="M20" s="88">
        <v>5266512</v>
      </c>
    </row>
    <row r="22" spans="1:13" x14ac:dyDescent="0.3">
      <c r="A22" t="s">
        <v>218</v>
      </c>
    </row>
  </sheetData>
  <mergeCells count="7">
    <mergeCell ref="A20:B20"/>
    <mergeCell ref="A14:B14"/>
    <mergeCell ref="A15:B15"/>
    <mergeCell ref="A16:B16"/>
    <mergeCell ref="A17:B17"/>
    <mergeCell ref="A18:B18"/>
    <mergeCell ref="A19:B1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B85E-1E6F-4897-A4D8-A31AC9725057}">
  <dimension ref="A1:AB223"/>
  <sheetViews>
    <sheetView topLeftCell="A136" zoomScale="85" zoomScaleNormal="85" workbookViewId="0">
      <selection activeCell="AA6" sqref="AA6:AE10"/>
    </sheetView>
  </sheetViews>
  <sheetFormatPr defaultRowHeight="14.4" x14ac:dyDescent="0.3"/>
  <cols>
    <col min="1" max="1" width="46.6640625" customWidth="1"/>
    <col min="2" max="2" width="39.77734375" customWidth="1"/>
    <col min="3" max="3" width="52.88671875" customWidth="1"/>
    <col min="4" max="4" width="20.6640625" customWidth="1"/>
    <col min="5" max="5" width="11.33203125" customWidth="1"/>
    <col min="6" max="6" width="12.109375" bestFit="1" customWidth="1"/>
    <col min="7" max="7" width="10.88671875" customWidth="1"/>
    <col min="8" max="8" width="9.6640625" customWidth="1"/>
    <col min="9" max="9" width="15.88671875" customWidth="1"/>
    <col min="10" max="10" width="17.21875" customWidth="1"/>
    <col min="11" max="11" width="24.88671875" customWidth="1"/>
    <col min="14" max="14" width="11.33203125" bestFit="1" customWidth="1"/>
    <col min="16" max="16" width="12.6640625" customWidth="1"/>
    <col min="18" max="18" width="14.5546875" customWidth="1"/>
  </cols>
  <sheetData>
    <row r="1" spans="1:28" x14ac:dyDescent="0.3">
      <c r="N1" s="1" t="s">
        <v>20</v>
      </c>
      <c r="O1" s="1"/>
      <c r="P1" s="1"/>
    </row>
    <row r="2" spans="1:28" ht="15" thickBot="1" x14ac:dyDescent="0.35">
      <c r="N2" s="1" t="s">
        <v>3</v>
      </c>
      <c r="O2" s="1"/>
      <c r="P2" s="1"/>
    </row>
    <row r="3" spans="1:28" x14ac:dyDescent="0.3">
      <c r="A3" s="18" t="s">
        <v>23</v>
      </c>
      <c r="B3" s="18"/>
      <c r="C3" s="19" t="s">
        <v>24</v>
      </c>
      <c r="D3" s="2" t="s">
        <v>25</v>
      </c>
      <c r="E3" s="18"/>
      <c r="N3" s="1" t="s">
        <v>7</v>
      </c>
      <c r="O3" s="1"/>
      <c r="P3" s="1"/>
    </row>
    <row r="4" spans="1:28" ht="15" thickBot="1" x14ac:dyDescent="0.35">
      <c r="D4" s="5" t="s">
        <v>27</v>
      </c>
      <c r="E4" s="18"/>
      <c r="H4" s="1" t="s">
        <v>0</v>
      </c>
      <c r="J4" t="s">
        <v>1</v>
      </c>
      <c r="N4" t="s">
        <v>2</v>
      </c>
    </row>
    <row r="5" spans="1:28" ht="15" thickBot="1" x14ac:dyDescent="0.35">
      <c r="H5" s="2" t="s">
        <v>4</v>
      </c>
      <c r="I5" s="3"/>
      <c r="J5" s="3" t="s">
        <v>5</v>
      </c>
      <c r="K5" s="4"/>
      <c r="N5" t="s">
        <v>6</v>
      </c>
    </row>
    <row r="6" spans="1:28" ht="15" thickBot="1" x14ac:dyDescent="0.35">
      <c r="A6" s="13" t="s">
        <v>32</v>
      </c>
      <c r="B6" s="14"/>
      <c r="C6" s="15" t="s">
        <v>33</v>
      </c>
      <c r="H6" s="5" t="s">
        <v>8</v>
      </c>
      <c r="I6" s="6"/>
      <c r="J6" s="7" t="s">
        <v>9</v>
      </c>
      <c r="K6" s="8" t="s">
        <v>10</v>
      </c>
      <c r="N6" t="s">
        <v>11</v>
      </c>
      <c r="AA6" s="1"/>
      <c r="AB6" s="1"/>
    </row>
    <row r="7" spans="1:28" ht="15" thickBot="1" x14ac:dyDescent="0.35">
      <c r="A7" s="25" t="s">
        <v>35</v>
      </c>
      <c r="B7" s="7"/>
      <c r="C7" s="26" t="s">
        <v>36</v>
      </c>
      <c r="H7" s="9" t="s">
        <v>12</v>
      </c>
      <c r="I7" s="10"/>
    </row>
    <row r="8" spans="1:28" ht="15" thickBot="1" x14ac:dyDescent="0.35">
      <c r="H8" s="11" t="s">
        <v>13</v>
      </c>
      <c r="I8" s="12"/>
    </row>
    <row r="9" spans="1:28" x14ac:dyDescent="0.3">
      <c r="H9" s="13" t="s">
        <v>14</v>
      </c>
      <c r="I9" s="14"/>
      <c r="J9" s="3" t="s">
        <v>15</v>
      </c>
      <c r="K9" s="15" t="s">
        <v>16</v>
      </c>
    </row>
    <row r="10" spans="1:28" ht="15" thickBot="1" x14ac:dyDescent="0.35">
      <c r="H10" s="16" t="s">
        <v>17</v>
      </c>
      <c r="I10" s="17"/>
      <c r="J10" s="6" t="s">
        <v>18</v>
      </c>
      <c r="K10" s="8"/>
    </row>
    <row r="11" spans="1:28" x14ac:dyDescent="0.3">
      <c r="H11" t="s">
        <v>19</v>
      </c>
      <c r="J11" t="s">
        <v>20</v>
      </c>
    </row>
    <row r="12" spans="1:28" ht="15" thickBot="1" x14ac:dyDescent="0.35">
      <c r="H12" t="s">
        <v>21</v>
      </c>
      <c r="J12" s="1" t="s">
        <v>22</v>
      </c>
    </row>
    <row r="13" spans="1:28" ht="15" thickBot="1" x14ac:dyDescent="0.35">
      <c r="H13" s="18" t="s">
        <v>23</v>
      </c>
      <c r="I13" s="18"/>
      <c r="J13" s="19" t="s">
        <v>24</v>
      </c>
      <c r="K13" s="2" t="s">
        <v>25</v>
      </c>
      <c r="L13" s="20"/>
      <c r="M13" s="1"/>
      <c r="N13" s="1"/>
      <c r="O13" s="1"/>
      <c r="P13" s="1"/>
      <c r="Q13" s="1"/>
      <c r="R13" s="1"/>
    </row>
    <row r="14" spans="1:28" ht="15" thickBot="1" x14ac:dyDescent="0.35">
      <c r="H14" s="13" t="s">
        <v>26</v>
      </c>
      <c r="I14" s="4"/>
      <c r="K14" s="5" t="s">
        <v>27</v>
      </c>
      <c r="L14" s="21"/>
    </row>
    <row r="15" spans="1:28" ht="18" x14ac:dyDescent="0.3">
      <c r="H15" s="22" t="s">
        <v>28</v>
      </c>
      <c r="I15" s="23"/>
      <c r="N15" s="24" t="s">
        <v>29</v>
      </c>
    </row>
    <row r="16" spans="1:28" ht="15" thickBot="1" x14ac:dyDescent="0.35">
      <c r="H16" s="22" t="s">
        <v>30</v>
      </c>
      <c r="I16" s="23"/>
      <c r="J16" t="s">
        <v>31</v>
      </c>
    </row>
    <row r="17" spans="7:14" x14ac:dyDescent="0.3">
      <c r="H17" s="13" t="s">
        <v>32</v>
      </c>
      <c r="I17" s="14"/>
      <c r="J17" s="15" t="s">
        <v>33</v>
      </c>
      <c r="N17" t="s">
        <v>34</v>
      </c>
    </row>
    <row r="18" spans="7:14" ht="15" thickBot="1" x14ac:dyDescent="0.35">
      <c r="H18" s="25" t="s">
        <v>35</v>
      </c>
      <c r="I18" s="7"/>
      <c r="J18" s="26" t="s">
        <v>36</v>
      </c>
    </row>
    <row r="19" spans="7:14" x14ac:dyDescent="0.3">
      <c r="H19" s="13" t="s">
        <v>37</v>
      </c>
      <c r="I19" s="14"/>
      <c r="J19" s="4"/>
      <c r="N19" t="s">
        <v>38</v>
      </c>
    </row>
    <row r="20" spans="7:14" x14ac:dyDescent="0.3">
      <c r="H20" s="22" t="s">
        <v>39</v>
      </c>
      <c r="J20" s="23"/>
      <c r="N20" t="s">
        <v>40</v>
      </c>
    </row>
    <row r="21" spans="7:14" x14ac:dyDescent="0.3">
      <c r="H21" s="22" t="s">
        <v>41</v>
      </c>
      <c r="J21" s="27" t="s">
        <v>42</v>
      </c>
      <c r="N21" t="s">
        <v>43</v>
      </c>
    </row>
    <row r="22" spans="7:14" x14ac:dyDescent="0.3">
      <c r="H22" s="28" t="s">
        <v>44</v>
      </c>
      <c r="I22" s="18"/>
      <c r="J22" s="27" t="s">
        <v>45</v>
      </c>
      <c r="N22" t="s">
        <v>46</v>
      </c>
    </row>
    <row r="23" spans="7:14" x14ac:dyDescent="0.3">
      <c r="H23" s="28" t="s">
        <v>47</v>
      </c>
      <c r="I23" s="18"/>
      <c r="J23" s="27" t="s">
        <v>16</v>
      </c>
      <c r="N23" t="s">
        <v>48</v>
      </c>
    </row>
    <row r="24" spans="7:14" x14ac:dyDescent="0.3">
      <c r="H24" s="22" t="s">
        <v>49</v>
      </c>
      <c r="J24" s="23"/>
      <c r="N24" s="1" t="s">
        <v>50</v>
      </c>
    </row>
    <row r="25" spans="7:14" x14ac:dyDescent="0.3">
      <c r="H25" s="29" t="s">
        <v>51</v>
      </c>
      <c r="I25" s="1"/>
      <c r="J25" s="23"/>
      <c r="N25" t="s">
        <v>52</v>
      </c>
    </row>
    <row r="26" spans="7:14" x14ac:dyDescent="0.3">
      <c r="H26" s="29" t="s">
        <v>53</v>
      </c>
      <c r="I26" s="1"/>
      <c r="J26" s="23"/>
      <c r="N26" t="s">
        <v>54</v>
      </c>
    </row>
    <row r="27" spans="7:14" ht="15" thickBot="1" x14ac:dyDescent="0.35">
      <c r="H27" s="5" t="s">
        <v>55</v>
      </c>
      <c r="I27" s="6"/>
      <c r="J27" s="21" t="s">
        <v>56</v>
      </c>
      <c r="N27" t="s">
        <v>57</v>
      </c>
    </row>
    <row r="28" spans="7:14" x14ac:dyDescent="0.3">
      <c r="G28" t="s">
        <v>58</v>
      </c>
      <c r="H28" s="30" t="s">
        <v>59</v>
      </c>
      <c r="I28" s="30"/>
      <c r="N28" s="1" t="s">
        <v>60</v>
      </c>
    </row>
    <row r="29" spans="7:14" x14ac:dyDescent="0.3">
      <c r="H29" s="30" t="s">
        <v>61</v>
      </c>
      <c r="I29" s="30"/>
    </row>
    <row r="30" spans="7:14" x14ac:dyDescent="0.3">
      <c r="H30" t="s">
        <v>62</v>
      </c>
      <c r="J30" s="1" t="s">
        <v>16</v>
      </c>
    </row>
    <row r="31" spans="7:14" ht="18" x14ac:dyDescent="0.3">
      <c r="H31" t="s">
        <v>63</v>
      </c>
      <c r="N31" s="24" t="s">
        <v>64</v>
      </c>
    </row>
    <row r="32" spans="7:14" x14ac:dyDescent="0.3">
      <c r="H32" t="s">
        <v>65</v>
      </c>
    </row>
    <row r="33" spans="3:14" x14ac:dyDescent="0.3">
      <c r="H33" t="s">
        <v>66</v>
      </c>
      <c r="N33" t="s">
        <v>67</v>
      </c>
    </row>
    <row r="34" spans="3:14" x14ac:dyDescent="0.3">
      <c r="H34" t="s">
        <v>68</v>
      </c>
    </row>
    <row r="36" spans="3:14" x14ac:dyDescent="0.3">
      <c r="H36" t="s">
        <v>69</v>
      </c>
      <c r="J36" t="s">
        <v>70</v>
      </c>
    </row>
    <row r="37" spans="3:14" x14ac:dyDescent="0.3">
      <c r="N37" t="s">
        <v>71</v>
      </c>
    </row>
    <row r="39" spans="3:14" ht="18" x14ac:dyDescent="0.3">
      <c r="N39" s="24" t="s">
        <v>73</v>
      </c>
    </row>
    <row r="41" spans="3:14" x14ac:dyDescent="0.3">
      <c r="C41" s="1"/>
      <c r="N41" t="s">
        <v>74</v>
      </c>
    </row>
    <row r="42" spans="3:14" x14ac:dyDescent="0.3">
      <c r="C42" s="31"/>
      <c r="D42" s="31"/>
    </row>
    <row r="43" spans="3:14" x14ac:dyDescent="0.3">
      <c r="C43" s="31"/>
      <c r="D43" s="31"/>
    </row>
    <row r="49" spans="1:15" ht="17.399999999999999" x14ac:dyDescent="0.3">
      <c r="B49" s="33" t="s">
        <v>83</v>
      </c>
      <c r="D49" t="s">
        <v>76</v>
      </c>
    </row>
    <row r="50" spans="1:15" ht="52.8" x14ac:dyDescent="0.3">
      <c r="A50" t="s">
        <v>84</v>
      </c>
      <c r="B50" s="34" t="s">
        <v>85</v>
      </c>
      <c r="C50" s="1" t="s">
        <v>86</v>
      </c>
      <c r="D50" s="1">
        <f>4235-4150</f>
        <v>85</v>
      </c>
    </row>
    <row r="52" spans="1:15" x14ac:dyDescent="0.3">
      <c r="C52" s="46"/>
      <c r="F52" s="18"/>
    </row>
    <row r="53" spans="1:15" ht="30" customHeight="1" x14ac:dyDescent="0.3">
      <c r="B53" s="34"/>
      <c r="F53" s="126"/>
      <c r="G53" s="126"/>
      <c r="H53" s="126"/>
      <c r="I53" s="126"/>
      <c r="J53" s="126"/>
      <c r="K53" s="126"/>
      <c r="L53" s="126"/>
      <c r="M53" s="126"/>
      <c r="N53" s="126"/>
      <c r="O53" s="126"/>
    </row>
    <row r="54" spans="1:15" ht="50.4" customHeight="1" x14ac:dyDescent="0.3">
      <c r="B54" s="47"/>
      <c r="F54" s="126"/>
      <c r="G54" s="126"/>
      <c r="H54" s="126"/>
      <c r="I54" s="126"/>
      <c r="J54" s="126"/>
      <c r="K54" s="126"/>
      <c r="L54" s="126"/>
      <c r="M54" s="126"/>
      <c r="N54" s="126"/>
      <c r="O54" s="126"/>
    </row>
    <row r="55" spans="1:15" x14ac:dyDescent="0.3">
      <c r="B55" s="47"/>
      <c r="F55" s="126"/>
      <c r="G55" s="126"/>
      <c r="H55" s="126"/>
      <c r="I55" s="126"/>
      <c r="J55" s="126"/>
      <c r="K55" s="126"/>
      <c r="L55" s="126"/>
      <c r="M55" s="126"/>
      <c r="N55" s="126"/>
      <c r="O55" s="126"/>
    </row>
    <row r="56" spans="1:15" x14ac:dyDescent="0.3">
      <c r="B56" s="48"/>
      <c r="F56" s="126"/>
      <c r="G56" s="126"/>
      <c r="H56" s="126"/>
      <c r="I56" s="126"/>
      <c r="J56" s="126"/>
      <c r="K56" s="126"/>
      <c r="L56" s="126"/>
      <c r="M56" s="126"/>
      <c r="N56" s="126"/>
      <c r="O56" s="126"/>
    </row>
    <row r="59" spans="1:15" x14ac:dyDescent="0.3">
      <c r="A59" s="49" t="s">
        <v>104</v>
      </c>
      <c r="B59" s="50"/>
      <c r="C59" s="50"/>
      <c r="D59" s="50"/>
    </row>
    <row r="61" spans="1:15" x14ac:dyDescent="0.3">
      <c r="B61" s="1" t="s">
        <v>105</v>
      </c>
      <c r="J61" s="1" t="s">
        <v>106</v>
      </c>
    </row>
    <row r="62" spans="1:15" x14ac:dyDescent="0.3">
      <c r="B62" t="s">
        <v>107</v>
      </c>
      <c r="J62" t="s">
        <v>108</v>
      </c>
    </row>
    <row r="63" spans="1:15" x14ac:dyDescent="0.3">
      <c r="B63" t="s">
        <v>109</v>
      </c>
      <c r="I63" t="s">
        <v>81</v>
      </c>
      <c r="J63" t="s">
        <v>110</v>
      </c>
    </row>
    <row r="64" spans="1:15" x14ac:dyDescent="0.3">
      <c r="B64" t="s">
        <v>111</v>
      </c>
      <c r="I64" s="19" t="s">
        <v>24</v>
      </c>
      <c r="J64" s="1" t="s">
        <v>112</v>
      </c>
      <c r="M64" t="s">
        <v>101</v>
      </c>
      <c r="N64" s="51">
        <f>J73-J75</f>
        <v>-20000</v>
      </c>
    </row>
    <row r="65" spans="1:20" x14ac:dyDescent="0.3">
      <c r="B65" t="s">
        <v>113</v>
      </c>
      <c r="C65" s="52">
        <f>B76-D76</f>
        <v>2190</v>
      </c>
      <c r="D65" s="52"/>
      <c r="J65" s="1"/>
    </row>
    <row r="66" spans="1:20" x14ac:dyDescent="0.3">
      <c r="B66" t="s">
        <v>114</v>
      </c>
      <c r="C66" s="18">
        <f>C65-D75</f>
        <v>1910</v>
      </c>
      <c r="D66" s="18">
        <f>D78-D75-D76</f>
        <v>1910</v>
      </c>
      <c r="E66" s="19" t="s">
        <v>24</v>
      </c>
      <c r="F66" s="18"/>
      <c r="J66" t="s">
        <v>115</v>
      </c>
    </row>
    <row r="67" spans="1:20" x14ac:dyDescent="0.3">
      <c r="B67" s="1" t="s">
        <v>116</v>
      </c>
      <c r="C67" s="1" t="s">
        <v>117</v>
      </c>
      <c r="J67" s="32">
        <v>200000</v>
      </c>
      <c r="M67" t="s">
        <v>118</v>
      </c>
    </row>
    <row r="68" spans="1:20" x14ac:dyDescent="0.3">
      <c r="J68" t="s">
        <v>119</v>
      </c>
      <c r="L68" s="1" t="s">
        <v>97</v>
      </c>
      <c r="M68" s="53">
        <f>J67+J69+J71+J73-J75</f>
        <v>346000</v>
      </c>
      <c r="N68" s="51">
        <f>J67+J69+J71+N64</f>
        <v>346000</v>
      </c>
    </row>
    <row r="69" spans="1:20" x14ac:dyDescent="0.3">
      <c r="J69" s="32">
        <v>110000</v>
      </c>
      <c r="L69" s="1" t="s">
        <v>103</v>
      </c>
      <c r="M69" s="51">
        <f>M68-J81</f>
        <v>273000</v>
      </c>
      <c r="N69" s="52"/>
    </row>
    <row r="70" spans="1:20" ht="18" x14ac:dyDescent="0.35">
      <c r="A70" t="s">
        <v>120</v>
      </c>
      <c r="B70">
        <v>1180</v>
      </c>
      <c r="C70" s="54" t="s">
        <v>121</v>
      </c>
      <c r="D70" s="55">
        <v>1080</v>
      </c>
      <c r="J70" t="s">
        <v>122</v>
      </c>
      <c r="Q70" s="56" t="s">
        <v>23</v>
      </c>
      <c r="R70" s="56"/>
      <c r="S70" s="57" t="s">
        <v>24</v>
      </c>
      <c r="T70" s="58"/>
    </row>
    <row r="71" spans="1:20" ht="15" thickBot="1" x14ac:dyDescent="0.35">
      <c r="A71" t="s">
        <v>123</v>
      </c>
      <c r="B71">
        <v>640</v>
      </c>
      <c r="C71" s="59" t="s">
        <v>124</v>
      </c>
      <c r="D71" s="60">
        <v>460</v>
      </c>
      <c r="J71" s="32">
        <v>56000</v>
      </c>
      <c r="M71" t="s">
        <v>125</v>
      </c>
    </row>
    <row r="72" spans="1:20" ht="15" thickBot="1" x14ac:dyDescent="0.35">
      <c r="A72" t="s">
        <v>126</v>
      </c>
      <c r="B72">
        <v>500</v>
      </c>
      <c r="C72" s="59" t="s">
        <v>127</v>
      </c>
      <c r="D72" s="60">
        <v>170</v>
      </c>
      <c r="J72" t="s">
        <v>128</v>
      </c>
      <c r="L72" s="61" t="s">
        <v>129</v>
      </c>
      <c r="M72" s="62">
        <f>M68-J77-J81</f>
        <v>183000</v>
      </c>
      <c r="N72" s="63">
        <f>M69-J77</f>
        <v>183000</v>
      </c>
      <c r="O72" s="45" t="s">
        <v>130</v>
      </c>
    </row>
    <row r="73" spans="1:20" x14ac:dyDescent="0.3">
      <c r="A73" t="s">
        <v>131</v>
      </c>
      <c r="B73">
        <v>1480</v>
      </c>
      <c r="C73" s="59" t="s">
        <v>132</v>
      </c>
      <c r="D73" s="60">
        <v>50</v>
      </c>
      <c r="J73" s="32">
        <v>130000</v>
      </c>
    </row>
    <row r="74" spans="1:20" x14ac:dyDescent="0.3">
      <c r="A74" t="s">
        <v>133</v>
      </c>
      <c r="B74">
        <v>1540</v>
      </c>
      <c r="C74" s="64" t="s">
        <v>134</v>
      </c>
      <c r="D74" s="65">
        <v>150</v>
      </c>
      <c r="J74" t="s">
        <v>135</v>
      </c>
    </row>
    <row r="75" spans="1:20" x14ac:dyDescent="0.3">
      <c r="A75" t="s">
        <v>136</v>
      </c>
      <c r="B75">
        <f>B73-B74</f>
        <v>-60</v>
      </c>
      <c r="C75" t="s">
        <v>137</v>
      </c>
      <c r="D75">
        <v>280</v>
      </c>
      <c r="J75" s="32">
        <v>150000</v>
      </c>
    </row>
    <row r="76" spans="1:20" x14ac:dyDescent="0.3">
      <c r="A76" s="18" t="s">
        <v>138</v>
      </c>
      <c r="B76" s="18">
        <f>SUM(B70:B72,B75)</f>
        <v>2260</v>
      </c>
      <c r="C76" s="1" t="s">
        <v>139</v>
      </c>
      <c r="D76" s="1">
        <v>70</v>
      </c>
      <c r="J76" t="s">
        <v>87</v>
      </c>
    </row>
    <row r="77" spans="1:20" x14ac:dyDescent="0.3">
      <c r="J77" s="32">
        <v>90000</v>
      </c>
    </row>
    <row r="78" spans="1:20" x14ac:dyDescent="0.3">
      <c r="C78" s="18" t="s">
        <v>138</v>
      </c>
      <c r="D78" s="18">
        <f>SUM(D70:D76)</f>
        <v>2260</v>
      </c>
      <c r="E78">
        <f>D78-D76</f>
        <v>2190</v>
      </c>
      <c r="J78" s="36" t="s">
        <v>140</v>
      </c>
    </row>
    <row r="79" spans="1:20" x14ac:dyDescent="0.3">
      <c r="C79" t="s">
        <v>81</v>
      </c>
      <c r="D79">
        <f>SUM(D70:D74)</f>
        <v>1910</v>
      </c>
      <c r="J79" s="66">
        <v>26000</v>
      </c>
      <c r="K79" t="s">
        <v>141</v>
      </c>
    </row>
    <row r="80" spans="1:20" x14ac:dyDescent="0.3">
      <c r="J80" t="s">
        <v>142</v>
      </c>
    </row>
    <row r="81" spans="1:10" x14ac:dyDescent="0.3">
      <c r="J81" s="32">
        <v>73000</v>
      </c>
    </row>
    <row r="93" spans="1:10" x14ac:dyDescent="0.3">
      <c r="A93" t="s">
        <v>143</v>
      </c>
    </row>
    <row r="94" spans="1:10" x14ac:dyDescent="0.3">
      <c r="A94" t="s">
        <v>144</v>
      </c>
    </row>
    <row r="95" spans="1:10" x14ac:dyDescent="0.3">
      <c r="A95" t="s">
        <v>145</v>
      </c>
    </row>
    <row r="97" spans="2:13" ht="15" thickBot="1" x14ac:dyDescent="0.35">
      <c r="B97" t="s">
        <v>146</v>
      </c>
      <c r="D97" t="s">
        <v>147</v>
      </c>
      <c r="E97" t="s">
        <v>146</v>
      </c>
      <c r="G97" t="s">
        <v>147</v>
      </c>
      <c r="H97" s="18" t="s">
        <v>148</v>
      </c>
      <c r="I97" t="s">
        <v>149</v>
      </c>
      <c r="J97" t="s">
        <v>150</v>
      </c>
      <c r="L97" t="s">
        <v>150</v>
      </c>
    </row>
    <row r="98" spans="2:13" ht="15" thickBot="1" x14ac:dyDescent="0.35">
      <c r="B98">
        <v>15</v>
      </c>
      <c r="C98">
        <v>250</v>
      </c>
      <c r="D98" s="67">
        <f>B98*C98</f>
        <v>3750</v>
      </c>
      <c r="E98">
        <v>16</v>
      </c>
      <c r="F98">
        <v>270</v>
      </c>
      <c r="G98" s="67">
        <f>E98*F98</f>
        <v>4320</v>
      </c>
      <c r="H98" s="18">
        <f>F98*B98</f>
        <v>4050</v>
      </c>
      <c r="I98">
        <f>H98/D98</f>
        <v>1.08</v>
      </c>
      <c r="J98">
        <f>(H98-D98)/D98</f>
        <v>0.08</v>
      </c>
      <c r="K98">
        <f>I98*100</f>
        <v>108</v>
      </c>
      <c r="L98">
        <f>J98*100</f>
        <v>8</v>
      </c>
      <c r="M98" t="s">
        <v>151</v>
      </c>
    </row>
    <row r="103" spans="2:13" ht="15" thickBot="1" x14ac:dyDescent="0.35"/>
    <row r="104" spans="2:13" x14ac:dyDescent="0.3">
      <c r="E104" t="s">
        <v>152</v>
      </c>
      <c r="F104">
        <f>G98/D98</f>
        <v>1.1519999999999999</v>
      </c>
      <c r="G104" s="13" t="s">
        <v>153</v>
      </c>
      <c r="H104" s="14"/>
      <c r="I104" s="14">
        <f>ROUND(F104,3)</f>
        <v>1.1519999999999999</v>
      </c>
      <c r="J104" s="4">
        <f>I104-1</f>
        <v>0.15199999999999991</v>
      </c>
    </row>
    <row r="105" spans="2:13" x14ac:dyDescent="0.3">
      <c r="F105">
        <f>E98/B98</f>
        <v>1.0666666666666667</v>
      </c>
      <c r="G105" s="22" t="s">
        <v>154</v>
      </c>
      <c r="I105">
        <f>ROUND(F105,3)</f>
        <v>1.0669999999999999</v>
      </c>
      <c r="J105" s="23">
        <f>I105-1</f>
        <v>6.6999999999999948E-2</v>
      </c>
    </row>
    <row r="106" spans="2:13" ht="15" thickBot="1" x14ac:dyDescent="0.35">
      <c r="F106">
        <f>F104-F105</f>
        <v>8.5333333333333261E-2</v>
      </c>
      <c r="G106" s="25" t="s">
        <v>155</v>
      </c>
      <c r="H106" s="7"/>
      <c r="I106" s="7">
        <f>ROUND(F106,3)</f>
        <v>8.5000000000000006E-2</v>
      </c>
      <c r="J106" s="8">
        <f>J104-J105</f>
        <v>8.4999999999999964E-2</v>
      </c>
    </row>
    <row r="113" spans="1:17" x14ac:dyDescent="0.3">
      <c r="C113" s="18" t="s">
        <v>156</v>
      </c>
    </row>
    <row r="114" spans="1:17" x14ac:dyDescent="0.3">
      <c r="C114" s="18" t="s">
        <v>75</v>
      </c>
    </row>
    <row r="115" spans="1:17" x14ac:dyDescent="0.3">
      <c r="A115" t="s">
        <v>157</v>
      </c>
    </row>
    <row r="116" spans="1:17" x14ac:dyDescent="0.3">
      <c r="A116" t="s">
        <v>158</v>
      </c>
      <c r="C116" s="68">
        <f>6000-(800-200)</f>
        <v>5400</v>
      </c>
      <c r="D116" s="52"/>
      <c r="E116" s="52" t="s">
        <v>102</v>
      </c>
      <c r="F116" s="52">
        <f>800-200</f>
        <v>600</v>
      </c>
      <c r="I116" t="s">
        <v>159</v>
      </c>
      <c r="J116" s="52">
        <f>800+4000+1100</f>
        <v>5900</v>
      </c>
    </row>
    <row r="117" spans="1:17" x14ac:dyDescent="0.3">
      <c r="A117" t="s">
        <v>160</v>
      </c>
      <c r="C117" s="68">
        <f>6000-J116</f>
        <v>100</v>
      </c>
      <c r="D117" s="52">
        <f>C116-200-4000-1100</f>
        <v>100</v>
      </c>
      <c r="E117" s="52"/>
      <c r="F117" s="52"/>
    </row>
    <row r="118" spans="1:17" x14ac:dyDescent="0.3">
      <c r="A118" t="s">
        <v>161</v>
      </c>
    </row>
    <row r="119" spans="1:17" ht="15" thickBot="1" x14ac:dyDescent="0.35"/>
    <row r="120" spans="1:17" ht="53.4" thickBot="1" x14ac:dyDescent="0.35">
      <c r="B120" t="s">
        <v>88</v>
      </c>
      <c r="F120" s="39" t="s">
        <v>88</v>
      </c>
      <c r="G120" s="37" t="s">
        <v>89</v>
      </c>
      <c r="H120" s="37" t="s">
        <v>26</v>
      </c>
      <c r="I120" s="37" t="s">
        <v>90</v>
      </c>
      <c r="M120" s="39" t="s">
        <v>88</v>
      </c>
      <c r="N120" s="37" t="s">
        <v>89</v>
      </c>
      <c r="O120" s="37" t="s">
        <v>26</v>
      </c>
      <c r="P120" s="37" t="s">
        <v>90</v>
      </c>
    </row>
    <row r="121" spans="1:17" ht="40.200000000000003" thickBot="1" x14ac:dyDescent="0.35">
      <c r="B121" t="s">
        <v>89</v>
      </c>
      <c r="F121" s="40" t="s">
        <v>91</v>
      </c>
      <c r="G121" s="41" t="s">
        <v>92</v>
      </c>
      <c r="H121" s="38">
        <v>25000</v>
      </c>
      <c r="I121" s="41">
        <v>25000</v>
      </c>
      <c r="M121" s="40" t="s">
        <v>91</v>
      </c>
      <c r="N121" s="38" t="s">
        <v>92</v>
      </c>
      <c r="O121" s="38">
        <v>25000</v>
      </c>
      <c r="P121" s="38">
        <v>25000</v>
      </c>
      <c r="Q121">
        <f>SUM(N121:O121)</f>
        <v>25000</v>
      </c>
    </row>
    <row r="122" spans="1:17" ht="27" thickBot="1" x14ac:dyDescent="0.35">
      <c r="B122" t="s">
        <v>26</v>
      </c>
      <c r="F122" s="40" t="s">
        <v>93</v>
      </c>
      <c r="G122" s="41">
        <v>25000</v>
      </c>
      <c r="H122" s="38">
        <v>62000</v>
      </c>
      <c r="I122" s="41">
        <f>I121+H122</f>
        <v>87000</v>
      </c>
      <c r="M122" s="40" t="s">
        <v>93</v>
      </c>
      <c r="N122" s="38">
        <v>25000</v>
      </c>
      <c r="O122" s="38">
        <v>62000</v>
      </c>
      <c r="P122" s="38">
        <f>P121+O122</f>
        <v>87000</v>
      </c>
      <c r="Q122">
        <f>SUM(N122:O122)</f>
        <v>87000</v>
      </c>
    </row>
    <row r="123" spans="1:17" ht="27" thickBot="1" x14ac:dyDescent="0.35">
      <c r="B123" t="s">
        <v>90</v>
      </c>
      <c r="F123" s="40" t="s">
        <v>94</v>
      </c>
      <c r="G123" s="41">
        <v>87000</v>
      </c>
      <c r="H123" s="38">
        <v>145000</v>
      </c>
      <c r="I123" s="41">
        <f>I122+H123</f>
        <v>232000</v>
      </c>
      <c r="M123" s="40" t="s">
        <v>94</v>
      </c>
      <c r="N123" s="38">
        <v>87000</v>
      </c>
      <c r="O123" s="38">
        <v>145000</v>
      </c>
      <c r="P123" s="38">
        <f>P122+O123</f>
        <v>232000</v>
      </c>
      <c r="Q123">
        <f>SUM(N123:O123)</f>
        <v>232000</v>
      </c>
    </row>
    <row r="124" spans="1:17" ht="15" thickBot="1" x14ac:dyDescent="0.35">
      <c r="B124" t="s">
        <v>91</v>
      </c>
      <c r="F124" s="40" t="s">
        <v>95</v>
      </c>
      <c r="G124" s="41">
        <f>I123</f>
        <v>232000</v>
      </c>
      <c r="H124" s="38">
        <v>65000</v>
      </c>
      <c r="I124" s="42">
        <f>I123+H124</f>
        <v>297000</v>
      </c>
      <c r="M124" s="40" t="s">
        <v>95</v>
      </c>
      <c r="N124" s="38">
        <f>P123</f>
        <v>232000</v>
      </c>
      <c r="O124" s="38">
        <v>65000</v>
      </c>
      <c r="P124" s="43">
        <f>P123+O124</f>
        <v>297000</v>
      </c>
      <c r="Q124">
        <f>SUM(N124:O124)</f>
        <v>297000</v>
      </c>
    </row>
    <row r="125" spans="1:17" ht="53.4" thickBot="1" x14ac:dyDescent="0.35">
      <c r="B125" t="s">
        <v>93</v>
      </c>
      <c r="M125" s="39" t="s">
        <v>96</v>
      </c>
      <c r="N125" s="44" t="s">
        <v>92</v>
      </c>
      <c r="O125" s="69">
        <f>SUM(O121:O124)</f>
        <v>297000</v>
      </c>
      <c r="P125" s="45"/>
    </row>
    <row r="126" spans="1:17" x14ac:dyDescent="0.3">
      <c r="B126" t="s">
        <v>94</v>
      </c>
    </row>
    <row r="127" spans="1:17" x14ac:dyDescent="0.3">
      <c r="B127" t="s">
        <v>95</v>
      </c>
    </row>
    <row r="130" spans="1:18" x14ac:dyDescent="0.3">
      <c r="A130" t="s">
        <v>162</v>
      </c>
    </row>
    <row r="131" spans="1:18" x14ac:dyDescent="0.3">
      <c r="A131" t="s">
        <v>163</v>
      </c>
    </row>
    <row r="132" spans="1:18" x14ac:dyDescent="0.3">
      <c r="A132" t="s">
        <v>164</v>
      </c>
    </row>
    <row r="133" spans="1:18" ht="18.600000000000001" thickBot="1" x14ac:dyDescent="0.35">
      <c r="C133" s="1" t="s">
        <v>138</v>
      </c>
      <c r="D133" s="1">
        <v>100</v>
      </c>
      <c r="E133">
        <f t="shared" ref="E133:E138" si="0">D133*5000</f>
        <v>500000</v>
      </c>
      <c r="J133" s="24" t="s">
        <v>29</v>
      </c>
      <c r="P133" s="18" t="s">
        <v>23</v>
      </c>
      <c r="Q133" s="18"/>
      <c r="R133" s="19" t="s">
        <v>24</v>
      </c>
    </row>
    <row r="134" spans="1:18" x14ac:dyDescent="0.3">
      <c r="C134" s="70" t="s">
        <v>98</v>
      </c>
      <c r="D134" s="71">
        <v>87</v>
      </c>
      <c r="E134" s="52">
        <f t="shared" si="0"/>
        <v>435000</v>
      </c>
      <c r="G134">
        <f>E133*0.75</f>
        <v>375000</v>
      </c>
      <c r="H134" t="s">
        <v>165</v>
      </c>
      <c r="P134" s="2" t="s">
        <v>25</v>
      </c>
      <c r="Q134" s="20"/>
    </row>
    <row r="135" spans="1:18" ht="15" thickBot="1" x14ac:dyDescent="0.35">
      <c r="C135" s="29" t="s">
        <v>100</v>
      </c>
      <c r="D135" s="27">
        <v>10</v>
      </c>
      <c r="E135">
        <f t="shared" si="0"/>
        <v>50000</v>
      </c>
      <c r="G135">
        <f>G140-G138-G134</f>
        <v>75000</v>
      </c>
      <c r="H135" t="s">
        <v>166</v>
      </c>
      <c r="J135" t="s">
        <v>34</v>
      </c>
      <c r="P135" s="5" t="s">
        <v>27</v>
      </c>
      <c r="Q135" s="21"/>
    </row>
    <row r="136" spans="1:18" x14ac:dyDescent="0.3">
      <c r="C136" s="29" t="s">
        <v>99</v>
      </c>
      <c r="D136" s="27">
        <v>6</v>
      </c>
      <c r="E136">
        <f t="shared" si="0"/>
        <v>30000</v>
      </c>
    </row>
    <row r="137" spans="1:18" x14ac:dyDescent="0.3">
      <c r="C137" s="29" t="s">
        <v>167</v>
      </c>
      <c r="D137" s="27">
        <v>4</v>
      </c>
      <c r="E137">
        <f t="shared" si="0"/>
        <v>20000</v>
      </c>
      <c r="J137" t="s">
        <v>38</v>
      </c>
    </row>
    <row r="138" spans="1:18" ht="15" thickBot="1" x14ac:dyDescent="0.35">
      <c r="C138" s="72" t="s">
        <v>168</v>
      </c>
      <c r="D138" s="26">
        <v>7</v>
      </c>
      <c r="E138">
        <f t="shared" si="0"/>
        <v>35000</v>
      </c>
      <c r="G138">
        <f>E135</f>
        <v>50000</v>
      </c>
      <c r="H138" t="s">
        <v>169</v>
      </c>
      <c r="J138" t="s">
        <v>40</v>
      </c>
    </row>
    <row r="139" spans="1:18" x14ac:dyDescent="0.3">
      <c r="J139" t="s">
        <v>43</v>
      </c>
    </row>
    <row r="140" spans="1:18" x14ac:dyDescent="0.3">
      <c r="D140">
        <f>D134+D135+D136+D137-D138</f>
        <v>100</v>
      </c>
      <c r="E140" s="18">
        <f>D140*5000</f>
        <v>500000</v>
      </c>
      <c r="G140">
        <f>E140</f>
        <v>500000</v>
      </c>
      <c r="H140" t="s">
        <v>138</v>
      </c>
      <c r="I140" s="18">
        <f>SUM(G134:G138)</f>
        <v>500000</v>
      </c>
      <c r="J140" t="s">
        <v>46</v>
      </c>
    </row>
    <row r="141" spans="1:18" x14ac:dyDescent="0.3">
      <c r="J141" t="s">
        <v>48</v>
      </c>
    </row>
    <row r="142" spans="1:18" x14ac:dyDescent="0.3">
      <c r="J142" s="1" t="s">
        <v>50</v>
      </c>
    </row>
    <row r="143" spans="1:18" x14ac:dyDescent="0.3">
      <c r="J143" t="s">
        <v>52</v>
      </c>
    </row>
    <row r="144" spans="1:18" x14ac:dyDescent="0.3">
      <c r="J144" t="s">
        <v>54</v>
      </c>
    </row>
    <row r="145" spans="1:11" x14ac:dyDescent="0.3">
      <c r="J145" t="s">
        <v>57</v>
      </c>
    </row>
    <row r="146" spans="1:11" x14ac:dyDescent="0.3">
      <c r="J146" s="1" t="s">
        <v>60</v>
      </c>
    </row>
    <row r="151" spans="1:11" x14ac:dyDescent="0.3">
      <c r="A151" t="s">
        <v>170</v>
      </c>
    </row>
    <row r="152" spans="1:11" x14ac:dyDescent="0.3">
      <c r="A152" t="s">
        <v>171</v>
      </c>
      <c r="B152">
        <f>C153+G153</f>
        <v>45</v>
      </c>
      <c r="C152" t="s">
        <v>172</v>
      </c>
      <c r="D152" t="s">
        <v>98</v>
      </c>
      <c r="E152" t="s">
        <v>100</v>
      </c>
      <c r="F152" t="s">
        <v>101</v>
      </c>
      <c r="G152" t="s">
        <v>102</v>
      </c>
      <c r="H152" t="s">
        <v>165</v>
      </c>
    </row>
    <row r="153" spans="1:11" x14ac:dyDescent="0.3">
      <c r="A153" t="s">
        <v>173</v>
      </c>
      <c r="B153">
        <f>D153+E153+F153+B152</f>
        <v>343</v>
      </c>
      <c r="C153">
        <v>40</v>
      </c>
      <c r="D153">
        <v>240</v>
      </c>
      <c r="E153">
        <v>50</v>
      </c>
      <c r="F153">
        <v>8</v>
      </c>
      <c r="G153">
        <v>5</v>
      </c>
      <c r="H153">
        <v>12</v>
      </c>
    </row>
    <row r="154" spans="1:11" x14ac:dyDescent="0.3">
      <c r="A154" t="s">
        <v>174</v>
      </c>
      <c r="B154">
        <f>B153-G153</f>
        <v>338</v>
      </c>
    </row>
    <row r="155" spans="1:11" x14ac:dyDescent="0.3">
      <c r="B155">
        <f>C153+D153+E153+F153</f>
        <v>338</v>
      </c>
    </row>
    <row r="158" spans="1:11" ht="15" thickBot="1" x14ac:dyDescent="0.35">
      <c r="B158" t="s">
        <v>175</v>
      </c>
    </row>
    <row r="159" spans="1:11" x14ac:dyDescent="0.3">
      <c r="B159" t="s">
        <v>176</v>
      </c>
      <c r="D159" s="73">
        <f>H160--150</f>
        <v>2100</v>
      </c>
      <c r="E159" t="s">
        <v>97</v>
      </c>
      <c r="F159" t="s">
        <v>98</v>
      </c>
      <c r="G159" s="1" t="s">
        <v>100</v>
      </c>
      <c r="H159" t="s">
        <v>167</v>
      </c>
      <c r="I159" s="1" t="s">
        <v>102</v>
      </c>
      <c r="J159" s="1" t="s">
        <v>177</v>
      </c>
      <c r="K159" s="73" t="s">
        <v>77</v>
      </c>
    </row>
    <row r="160" spans="1:11" ht="15" thickBot="1" x14ac:dyDescent="0.35">
      <c r="B160" t="s">
        <v>178</v>
      </c>
      <c r="D160" s="74">
        <f>F160</f>
        <v>1602</v>
      </c>
      <c r="E160">
        <v>2240</v>
      </c>
      <c r="F160" s="1">
        <f>E160-G160-J160-K160</f>
        <v>1602</v>
      </c>
      <c r="G160" s="1">
        <v>540</v>
      </c>
      <c r="H160">
        <v>1950</v>
      </c>
      <c r="I160" s="1">
        <v>60</v>
      </c>
      <c r="J160" s="1">
        <v>248</v>
      </c>
      <c r="K160" s="75">
        <f>H160-D159</f>
        <v>-150</v>
      </c>
    </row>
    <row r="161" spans="2:10" ht="15" thickBot="1" x14ac:dyDescent="0.35">
      <c r="B161" t="s">
        <v>179</v>
      </c>
      <c r="D161" s="75">
        <f>E161-I160</f>
        <v>2180</v>
      </c>
      <c r="E161">
        <f>F160+J160+G160+K160</f>
        <v>2240</v>
      </c>
    </row>
    <row r="162" spans="2:10" x14ac:dyDescent="0.3">
      <c r="D162">
        <f>F160+(J160-I160)+G160+K160</f>
        <v>2180</v>
      </c>
    </row>
    <row r="164" spans="2:10" x14ac:dyDescent="0.3">
      <c r="C164" t="s">
        <v>168</v>
      </c>
      <c r="D164">
        <f>H160-K160</f>
        <v>2100</v>
      </c>
    </row>
    <row r="170" spans="2:10" ht="15" thickBot="1" x14ac:dyDescent="0.35">
      <c r="B170" t="s">
        <v>180</v>
      </c>
    </row>
    <row r="171" spans="2:10" ht="15" thickBot="1" x14ac:dyDescent="0.35">
      <c r="B171" t="s">
        <v>181</v>
      </c>
      <c r="D171" t="s">
        <v>165</v>
      </c>
      <c r="E171">
        <v>600</v>
      </c>
      <c r="G171" t="s">
        <v>177</v>
      </c>
      <c r="H171">
        <v>300</v>
      </c>
      <c r="I171" s="61" t="s">
        <v>102</v>
      </c>
      <c r="J171" s="45">
        <f>H171-H172</f>
        <v>50</v>
      </c>
    </row>
    <row r="172" spans="2:10" x14ac:dyDescent="0.3">
      <c r="B172" t="s">
        <v>182</v>
      </c>
      <c r="D172" t="s">
        <v>166</v>
      </c>
      <c r="E172">
        <v>280</v>
      </c>
      <c r="G172" t="s">
        <v>172</v>
      </c>
      <c r="H172">
        <v>250</v>
      </c>
    </row>
    <row r="173" spans="2:10" x14ac:dyDescent="0.3">
      <c r="B173" t="s">
        <v>183</v>
      </c>
      <c r="D173" t="s">
        <v>184</v>
      </c>
      <c r="E173">
        <v>50</v>
      </c>
      <c r="G173" t="s">
        <v>98</v>
      </c>
      <c r="H173">
        <v>550</v>
      </c>
    </row>
    <row r="174" spans="2:10" x14ac:dyDescent="0.3">
      <c r="B174" t="s">
        <v>185</v>
      </c>
      <c r="D174" t="s">
        <v>186</v>
      </c>
      <c r="E174">
        <v>20</v>
      </c>
    </row>
    <row r="175" spans="2:10" x14ac:dyDescent="0.3">
      <c r="D175" t="s">
        <v>187</v>
      </c>
      <c r="E175">
        <v>115</v>
      </c>
    </row>
    <row r="176" spans="2:10" ht="15" thickBot="1" x14ac:dyDescent="0.35">
      <c r="D176" t="s">
        <v>188</v>
      </c>
      <c r="E176">
        <v>120</v>
      </c>
    </row>
    <row r="177" spans="2:11" ht="15" thickBot="1" x14ac:dyDescent="0.35">
      <c r="D177" s="61" t="s">
        <v>81</v>
      </c>
      <c r="E177" s="76">
        <f>SUM(E171:E175)</f>
        <v>1065</v>
      </c>
    </row>
    <row r="178" spans="2:11" ht="15" thickBot="1" x14ac:dyDescent="0.35">
      <c r="D178" s="77" t="s">
        <v>97</v>
      </c>
      <c r="E178" s="76">
        <f>E177+E176+J171</f>
        <v>1235</v>
      </c>
    </row>
    <row r="179" spans="2:11" x14ac:dyDescent="0.3">
      <c r="C179" s="2" t="s">
        <v>25</v>
      </c>
      <c r="D179" s="1" t="s">
        <v>80</v>
      </c>
    </row>
    <row r="180" spans="2:11" ht="15" thickBot="1" x14ac:dyDescent="0.35">
      <c r="C180" s="5" t="s">
        <v>27</v>
      </c>
    </row>
    <row r="182" spans="2:11" ht="15" thickBot="1" x14ac:dyDescent="0.35">
      <c r="B182" t="s">
        <v>189</v>
      </c>
    </row>
    <row r="183" spans="2:11" x14ac:dyDescent="0.3">
      <c r="B183" t="s">
        <v>190</v>
      </c>
      <c r="D183" s="73" t="s">
        <v>191</v>
      </c>
      <c r="E183" s="13">
        <v>2</v>
      </c>
      <c r="F183" s="4"/>
      <c r="G183" s="73" t="s">
        <v>151</v>
      </c>
    </row>
    <row r="184" spans="2:11" x14ac:dyDescent="0.3">
      <c r="B184" t="s">
        <v>192</v>
      </c>
      <c r="D184" s="74">
        <f>(H193-E193)/E193</f>
        <v>6.0536398467432952E-2</v>
      </c>
      <c r="E184" s="22">
        <f>H193/E193</f>
        <v>1.060536398467433</v>
      </c>
      <c r="F184" s="23">
        <f>E184-1</f>
        <v>6.0536398467432972E-2</v>
      </c>
      <c r="G184" s="74">
        <f>F184*100</f>
        <v>6.0536398467432972</v>
      </c>
    </row>
    <row r="185" spans="2:11" ht="15" thickBot="1" x14ac:dyDescent="0.35">
      <c r="B185" t="s">
        <v>193</v>
      </c>
      <c r="D185" s="75">
        <f>(K193-E193)/E193</f>
        <v>2.9885057471264367E-2</v>
      </c>
      <c r="E185" s="25">
        <f>K193/E193</f>
        <v>1.0298850574712644</v>
      </c>
      <c r="F185" s="8">
        <f>E185-1</f>
        <v>2.9885057471264354E-2</v>
      </c>
      <c r="G185" s="75">
        <f>F185*100</f>
        <v>2.9885057471264354</v>
      </c>
    </row>
    <row r="186" spans="2:11" x14ac:dyDescent="0.3">
      <c r="B186" t="s">
        <v>194</v>
      </c>
    </row>
    <row r="189" spans="2:11" x14ac:dyDescent="0.3">
      <c r="C189" t="s">
        <v>191</v>
      </c>
      <c r="F189" t="s">
        <v>195</v>
      </c>
    </row>
    <row r="190" spans="2:11" x14ac:dyDescent="0.3">
      <c r="C190" t="s">
        <v>196</v>
      </c>
      <c r="D190" t="s">
        <v>197</v>
      </c>
      <c r="E190" s="35" t="s">
        <v>198</v>
      </c>
      <c r="F190" t="s">
        <v>196</v>
      </c>
      <c r="G190" t="s">
        <v>197</v>
      </c>
      <c r="H190" s="35" t="s">
        <v>199</v>
      </c>
      <c r="I190" t="s">
        <v>196</v>
      </c>
      <c r="J190" t="s">
        <v>197</v>
      </c>
      <c r="K190" t="s">
        <v>200</v>
      </c>
    </row>
    <row r="191" spans="2:11" x14ac:dyDescent="0.3">
      <c r="B191" t="s">
        <v>201</v>
      </c>
      <c r="C191">
        <v>320</v>
      </c>
      <c r="D191">
        <v>190</v>
      </c>
      <c r="E191" s="35"/>
      <c r="F191">
        <v>308</v>
      </c>
      <c r="G191">
        <v>208</v>
      </c>
      <c r="H191" s="35"/>
      <c r="I191">
        <v>308</v>
      </c>
      <c r="J191">
        <v>208</v>
      </c>
    </row>
    <row r="192" spans="2:11" x14ac:dyDescent="0.3">
      <c r="B192" t="s">
        <v>202</v>
      </c>
      <c r="C192">
        <v>2</v>
      </c>
      <c r="D192">
        <v>3.5</v>
      </c>
      <c r="E192" s="35"/>
      <c r="F192">
        <f>C192+(0.2*2)</f>
        <v>2.4</v>
      </c>
      <c r="G192">
        <v>3.1</v>
      </c>
      <c r="H192" s="35"/>
      <c r="I192">
        <v>2</v>
      </c>
      <c r="J192">
        <v>3.5</v>
      </c>
    </row>
    <row r="193" spans="2:11" x14ac:dyDescent="0.3">
      <c r="B193" t="s">
        <v>97</v>
      </c>
      <c r="C193">
        <f>C191*C192</f>
        <v>640</v>
      </c>
      <c r="D193">
        <f>D191*D192</f>
        <v>665</v>
      </c>
      <c r="E193" s="35">
        <f>SUM(C193:D193)</f>
        <v>1305</v>
      </c>
      <c r="F193">
        <f>F191*F192</f>
        <v>739.19999999999993</v>
      </c>
      <c r="G193">
        <f>G191*G192</f>
        <v>644.80000000000007</v>
      </c>
      <c r="H193" s="35">
        <f>SUM(F193:G193)</f>
        <v>1384</v>
      </c>
      <c r="I193">
        <f>I191*I192</f>
        <v>616</v>
      </c>
      <c r="J193">
        <f>J191*J192</f>
        <v>728</v>
      </c>
      <c r="K193">
        <f>SUM(I193:J193)</f>
        <v>1344</v>
      </c>
    </row>
    <row r="201" spans="2:11" x14ac:dyDescent="0.3">
      <c r="C201" s="78"/>
    </row>
    <row r="202" spans="2:11" x14ac:dyDescent="0.3">
      <c r="C202" s="78"/>
    </row>
    <row r="203" spans="2:11" x14ac:dyDescent="0.3">
      <c r="C203" s="78"/>
    </row>
    <row r="204" spans="2:11" x14ac:dyDescent="0.3">
      <c r="C204" s="78"/>
    </row>
    <row r="205" spans="2:11" x14ac:dyDescent="0.3">
      <c r="C205" s="78"/>
    </row>
    <row r="206" spans="2:11" x14ac:dyDescent="0.3">
      <c r="C206" s="78"/>
    </row>
    <row r="207" spans="2:11" x14ac:dyDescent="0.3">
      <c r="C207" s="78"/>
    </row>
    <row r="208" spans="2:11" x14ac:dyDescent="0.3">
      <c r="C208" s="78"/>
    </row>
    <row r="209" spans="3:4" x14ac:dyDescent="0.3">
      <c r="C209" s="78"/>
    </row>
    <row r="210" spans="3:4" x14ac:dyDescent="0.3">
      <c r="C210" s="78"/>
    </row>
    <row r="211" spans="3:4" x14ac:dyDescent="0.3">
      <c r="C211" s="78"/>
    </row>
    <row r="212" spans="3:4" x14ac:dyDescent="0.3">
      <c r="C212" s="78"/>
    </row>
    <row r="223" spans="3:4" x14ac:dyDescent="0.3">
      <c r="D223">
        <f>300-240-10-D216</f>
        <v>50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BAB97-CA4A-435E-AB54-1DE7BF59E5DF}">
  <dimension ref="A1:BZ142"/>
  <sheetViews>
    <sheetView tabSelected="1" topLeftCell="A58" zoomScale="70" zoomScaleNormal="70" workbookViewId="0">
      <selection activeCell="BU88" sqref="BU88"/>
    </sheetView>
  </sheetViews>
  <sheetFormatPr defaultRowHeight="14.4" x14ac:dyDescent="0.3"/>
  <cols>
    <col min="8" max="8" width="13.6640625" customWidth="1"/>
    <col min="9" max="9" width="24" bestFit="1" customWidth="1"/>
    <col min="10" max="10" width="13.33203125" customWidth="1"/>
    <col min="11" max="11" width="13.109375" customWidth="1"/>
    <col min="12" max="12" width="10.33203125" customWidth="1"/>
    <col min="14" max="14" width="10.88671875" customWidth="1"/>
    <col min="18" max="18" width="8.6640625" customWidth="1"/>
    <col min="19" max="19" width="10.6640625" customWidth="1"/>
    <col min="57" max="57" width="14" customWidth="1"/>
    <col min="58" max="58" width="14.5546875" customWidth="1"/>
    <col min="76" max="76" width="14.6640625" customWidth="1"/>
    <col min="77" max="77" width="11.88671875" customWidth="1"/>
  </cols>
  <sheetData>
    <row r="1" spans="2:59" x14ac:dyDescent="0.3">
      <c r="B1" t="s">
        <v>219</v>
      </c>
    </row>
    <row r="3" spans="2:59" x14ac:dyDescent="0.3">
      <c r="B3" t="s">
        <v>220</v>
      </c>
    </row>
    <row r="4" spans="2:59" x14ac:dyDescent="0.3">
      <c r="B4" s="36" t="s">
        <v>221</v>
      </c>
      <c r="C4" s="36"/>
      <c r="D4">
        <f>1-0.91</f>
        <v>8.9999999999999969E-2</v>
      </c>
      <c r="E4" s="52">
        <f>1/(1-0.91)</f>
        <v>11.111111111111114</v>
      </c>
      <c r="G4" t="s">
        <v>222</v>
      </c>
      <c r="H4">
        <f>1-0.91</f>
        <v>8.9999999999999969E-2</v>
      </c>
      <c r="P4" t="s">
        <v>223</v>
      </c>
      <c r="Q4" t="s">
        <v>224</v>
      </c>
      <c r="AV4" s="52" t="s">
        <v>72</v>
      </c>
      <c r="AW4" s="52"/>
      <c r="AX4" s="52"/>
      <c r="AY4" s="52"/>
      <c r="AZ4" s="52"/>
      <c r="BA4" s="52"/>
      <c r="BB4" s="52"/>
      <c r="BC4" s="52"/>
      <c r="BD4" s="52"/>
      <c r="BE4" s="52"/>
      <c r="BF4" s="52"/>
      <c r="BG4" s="52"/>
    </row>
    <row r="5" spans="2:59" x14ac:dyDescent="0.3">
      <c r="B5" t="s">
        <v>225</v>
      </c>
      <c r="D5">
        <f>1-0.07</f>
        <v>0.92999999999999994</v>
      </c>
      <c r="E5" s="52">
        <f>1/0.07</f>
        <v>14.285714285714285</v>
      </c>
      <c r="G5" t="s">
        <v>226</v>
      </c>
      <c r="H5" s="36">
        <f>1-0.07</f>
        <v>0.92999999999999994</v>
      </c>
      <c r="I5" s="1" t="s">
        <v>227</v>
      </c>
      <c r="J5" s="1" t="s">
        <v>228</v>
      </c>
      <c r="K5" s="1"/>
      <c r="AV5" s="52" t="s">
        <v>229</v>
      </c>
      <c r="AW5" s="52"/>
      <c r="AX5" s="52"/>
      <c r="AY5" s="52"/>
      <c r="AZ5" s="52"/>
      <c r="BA5" s="52"/>
      <c r="BB5" s="52"/>
      <c r="BC5" s="52"/>
      <c r="BD5" s="52"/>
      <c r="BE5" s="52"/>
      <c r="BF5" s="52"/>
      <c r="BG5" s="52"/>
    </row>
    <row r="6" spans="2:59" x14ac:dyDescent="0.3">
      <c r="Q6" t="s">
        <v>230</v>
      </c>
      <c r="AV6" s="52" t="s">
        <v>231</v>
      </c>
      <c r="AW6" s="52"/>
      <c r="AX6" s="52"/>
      <c r="AY6" s="52"/>
      <c r="AZ6" s="52"/>
      <c r="BA6" s="52"/>
      <c r="BB6" s="52"/>
      <c r="BC6" s="52"/>
      <c r="BD6" s="52"/>
      <c r="BE6" s="52"/>
      <c r="BF6" s="52"/>
      <c r="BG6" s="52"/>
    </row>
    <row r="7" spans="2:59" x14ac:dyDescent="0.3">
      <c r="AV7" s="52" t="s">
        <v>232</v>
      </c>
      <c r="AW7" s="52"/>
      <c r="AX7" s="52"/>
      <c r="AY7" s="52"/>
      <c r="AZ7" s="52"/>
      <c r="BA7" s="52"/>
      <c r="BB7" s="52"/>
      <c r="BC7" s="52"/>
      <c r="BD7" s="52"/>
      <c r="BE7" s="52"/>
      <c r="BF7" s="52"/>
      <c r="BG7" s="52"/>
    </row>
    <row r="8" spans="2:59" x14ac:dyDescent="0.3">
      <c r="AV8" s="52" t="s">
        <v>233</v>
      </c>
      <c r="AW8" s="52"/>
      <c r="AX8" s="52"/>
      <c r="AY8" s="52"/>
      <c r="AZ8" s="52"/>
      <c r="BA8" s="52"/>
      <c r="BB8" s="52"/>
      <c r="BC8" s="52"/>
      <c r="BD8" s="52"/>
      <c r="BE8" s="52"/>
      <c r="BF8" s="52"/>
      <c r="BG8" s="52"/>
    </row>
    <row r="9" spans="2:59" x14ac:dyDescent="0.3">
      <c r="B9" t="s">
        <v>234</v>
      </c>
      <c r="AV9" s="52" t="s">
        <v>235</v>
      </c>
      <c r="AW9" s="52"/>
      <c r="AX9" s="52"/>
      <c r="AY9" s="52"/>
      <c r="AZ9" s="52"/>
      <c r="BA9" s="52"/>
      <c r="BB9" s="52"/>
      <c r="BC9" s="52"/>
      <c r="BD9" s="52"/>
      <c r="BE9" s="52"/>
      <c r="BF9" s="52"/>
      <c r="BG9" s="52"/>
    </row>
    <row r="10" spans="2:59" ht="15" thickBot="1" x14ac:dyDescent="0.35">
      <c r="G10" t="s">
        <v>224</v>
      </c>
      <c r="J10" s="52" t="s">
        <v>236</v>
      </c>
      <c r="K10" s="68" t="s">
        <v>237</v>
      </c>
      <c r="L10" s="52" t="s">
        <v>238</v>
      </c>
      <c r="M10" s="52"/>
      <c r="N10" s="52"/>
      <c r="O10" s="52"/>
      <c r="P10" s="52"/>
      <c r="Q10" s="52"/>
      <c r="R10" s="52"/>
      <c r="S10" s="52"/>
      <c r="T10" s="52"/>
      <c r="AV10" s="52" t="s">
        <v>239</v>
      </c>
      <c r="AW10" s="52"/>
      <c r="AX10" s="52"/>
      <c r="AY10" s="52"/>
      <c r="AZ10" s="52"/>
      <c r="BA10" s="52"/>
      <c r="BB10" s="52"/>
      <c r="BC10" s="52"/>
      <c r="BD10" s="52"/>
      <c r="BE10" s="52"/>
      <c r="BF10" s="52"/>
      <c r="BG10" s="52"/>
    </row>
    <row r="11" spans="2:59" ht="15" thickBot="1" x14ac:dyDescent="0.35">
      <c r="J11" s="68" t="s">
        <v>240</v>
      </c>
      <c r="K11" s="52"/>
      <c r="L11" s="89">
        <f>1-0.8</f>
        <v>0.19999999999999996</v>
      </c>
      <c r="M11" s="90" t="s">
        <v>241</v>
      </c>
      <c r="N11" s="91">
        <v>20</v>
      </c>
      <c r="O11" s="52"/>
      <c r="P11" s="89" t="s">
        <v>241</v>
      </c>
      <c r="Q11" s="91">
        <f>20/L11</f>
        <v>100.00000000000003</v>
      </c>
      <c r="R11" s="52"/>
      <c r="S11" s="68" t="s">
        <v>242</v>
      </c>
      <c r="T11" s="68">
        <f>0.8*Q11</f>
        <v>80.000000000000028</v>
      </c>
      <c r="AV11" s="52" t="s">
        <v>243</v>
      </c>
      <c r="AW11" s="52"/>
      <c r="AX11" s="52"/>
      <c r="AY11" s="52"/>
      <c r="AZ11" s="52"/>
      <c r="BA11" s="52"/>
      <c r="BB11" s="52"/>
      <c r="BC11" s="52"/>
      <c r="BD11" s="52"/>
      <c r="BE11" s="52"/>
      <c r="BF11" s="52"/>
      <c r="BG11" s="52"/>
    </row>
    <row r="12" spans="2:59" ht="15" thickBot="1" x14ac:dyDescent="0.35">
      <c r="B12" t="s">
        <v>244</v>
      </c>
      <c r="S12" s="1"/>
      <c r="T12" s="1"/>
      <c r="AV12" s="52" t="s">
        <v>245</v>
      </c>
      <c r="AW12" s="52"/>
      <c r="AX12" s="52"/>
      <c r="AY12" s="52"/>
      <c r="AZ12" s="52"/>
      <c r="BA12" s="52"/>
      <c r="BB12" s="52"/>
      <c r="BC12" s="52"/>
      <c r="BD12" s="52"/>
      <c r="BE12" s="52"/>
      <c r="BF12" s="52"/>
      <c r="BG12" s="52"/>
    </row>
    <row r="13" spans="2:59" ht="15" thickBot="1" x14ac:dyDescent="0.35">
      <c r="E13" s="61" t="s">
        <v>246</v>
      </c>
      <c r="F13" s="45">
        <f>1/(1-0.8)</f>
        <v>5.0000000000000009</v>
      </c>
      <c r="J13" s="52" t="s">
        <v>236</v>
      </c>
      <c r="K13" s="52" t="s">
        <v>237</v>
      </c>
      <c r="L13" s="52" t="s">
        <v>247</v>
      </c>
      <c r="M13" s="52"/>
      <c r="N13" s="52"/>
      <c r="O13" s="52"/>
      <c r="P13" s="52"/>
      <c r="Q13" s="52"/>
      <c r="R13" s="52"/>
      <c r="S13" s="68"/>
      <c r="T13" s="68"/>
      <c r="AV13" s="52" t="s">
        <v>248</v>
      </c>
      <c r="AW13" s="52"/>
      <c r="AX13" s="52"/>
      <c r="AY13" s="52"/>
      <c r="AZ13" s="52"/>
      <c r="BA13" s="52"/>
      <c r="BB13" s="52"/>
      <c r="BC13" s="52"/>
      <c r="BD13" s="52"/>
      <c r="BE13" s="52"/>
      <c r="BF13" s="52"/>
      <c r="BG13" s="52"/>
    </row>
    <row r="14" spans="2:59" ht="15" thickBot="1" x14ac:dyDescent="0.35">
      <c r="J14" s="52" t="s">
        <v>249</v>
      </c>
      <c r="K14" s="52"/>
      <c r="L14" s="89">
        <f>1-0.8</f>
        <v>0.19999999999999996</v>
      </c>
      <c r="M14" s="90" t="s">
        <v>241</v>
      </c>
      <c r="N14" s="91">
        <v>22</v>
      </c>
      <c r="O14" s="52"/>
      <c r="P14" s="89" t="s">
        <v>241</v>
      </c>
      <c r="Q14" s="91">
        <f>22/L14</f>
        <v>110.00000000000003</v>
      </c>
      <c r="R14" s="52"/>
      <c r="S14" s="68" t="s">
        <v>242</v>
      </c>
      <c r="T14" s="68">
        <f>0.8*Q14</f>
        <v>88.000000000000028</v>
      </c>
      <c r="U14" t="s">
        <v>250</v>
      </c>
      <c r="V14">
        <f>Q14-T14</f>
        <v>22</v>
      </c>
      <c r="AV14" s="52" t="s">
        <v>251</v>
      </c>
      <c r="AW14" s="52"/>
      <c r="AX14" s="52"/>
      <c r="AY14" s="52"/>
      <c r="AZ14" s="52"/>
      <c r="BA14" s="52"/>
      <c r="BB14" s="52"/>
      <c r="BC14" s="52"/>
      <c r="BD14" s="52"/>
      <c r="BE14" s="52"/>
      <c r="BF14" s="52"/>
      <c r="BG14" s="52"/>
    </row>
    <row r="15" spans="2:59" x14ac:dyDescent="0.3">
      <c r="B15" t="s">
        <v>252</v>
      </c>
      <c r="S15" s="1"/>
      <c r="T15" s="1"/>
      <c r="AV15" s="52" t="s">
        <v>253</v>
      </c>
      <c r="AW15" s="52"/>
      <c r="AX15" s="52"/>
      <c r="AY15" s="52"/>
      <c r="AZ15" s="52"/>
      <c r="BA15" s="52"/>
      <c r="BB15" s="52"/>
      <c r="BC15" s="52"/>
      <c r="BD15" s="52"/>
      <c r="BE15" s="52"/>
      <c r="BF15" s="52"/>
      <c r="BG15" s="52"/>
    </row>
    <row r="16" spans="2:59" ht="15" thickBot="1" x14ac:dyDescent="0.35">
      <c r="I16" s="52"/>
      <c r="J16" s="52" t="s">
        <v>236</v>
      </c>
      <c r="K16" s="52" t="s">
        <v>254</v>
      </c>
      <c r="L16" s="52" t="s">
        <v>238</v>
      </c>
      <c r="M16" s="52"/>
      <c r="N16" s="52"/>
      <c r="O16" s="52"/>
      <c r="P16" s="52"/>
      <c r="Q16" s="52"/>
      <c r="R16" s="52"/>
      <c r="S16" s="68"/>
      <c r="T16" s="68"/>
    </row>
    <row r="17" spans="2:55" ht="15" thickBot="1" x14ac:dyDescent="0.35">
      <c r="E17" s="61" t="s">
        <v>246</v>
      </c>
      <c r="F17" s="45">
        <f>1/(1-0.85)</f>
        <v>6.6666666666666661</v>
      </c>
      <c r="I17" s="52"/>
      <c r="J17" s="52" t="s">
        <v>255</v>
      </c>
      <c r="K17" s="52"/>
      <c r="L17" s="52">
        <f>1-0.85</f>
        <v>0.15000000000000002</v>
      </c>
      <c r="M17" s="52" t="s">
        <v>241</v>
      </c>
      <c r="N17" s="52">
        <v>20</v>
      </c>
      <c r="O17" s="52"/>
      <c r="P17" s="52" t="s">
        <v>241</v>
      </c>
      <c r="Q17" s="52">
        <f>20/L17</f>
        <v>133.33333333333331</v>
      </c>
      <c r="R17" s="52"/>
      <c r="S17" s="68" t="s">
        <v>242</v>
      </c>
      <c r="T17" s="68">
        <f>0.85*Q17</f>
        <v>113.33333333333331</v>
      </c>
      <c r="U17" t="s">
        <v>250</v>
      </c>
      <c r="V17">
        <f>Q17-T17</f>
        <v>20</v>
      </c>
    </row>
    <row r="18" spans="2:55" x14ac:dyDescent="0.3">
      <c r="AZ18" t="s">
        <v>256</v>
      </c>
      <c r="BA18" t="s">
        <v>257</v>
      </c>
      <c r="BB18" t="s">
        <v>258</v>
      </c>
      <c r="BC18" t="s">
        <v>259</v>
      </c>
    </row>
    <row r="19" spans="2:55" x14ac:dyDescent="0.3">
      <c r="B19" t="s">
        <v>260</v>
      </c>
      <c r="AV19" t="s">
        <v>78</v>
      </c>
    </row>
    <row r="20" spans="2:55" x14ac:dyDescent="0.3">
      <c r="B20" t="s">
        <v>261</v>
      </c>
      <c r="AV20" t="s">
        <v>262</v>
      </c>
    </row>
    <row r="21" spans="2:55" ht="15" thickBot="1" x14ac:dyDescent="0.35">
      <c r="B21" t="s">
        <v>263</v>
      </c>
      <c r="AV21" t="s">
        <v>264</v>
      </c>
    </row>
    <row r="22" spans="2:55" x14ac:dyDescent="0.3">
      <c r="B22" t="s">
        <v>265</v>
      </c>
      <c r="F22" s="52"/>
      <c r="G22" s="52"/>
      <c r="H22" s="52"/>
      <c r="I22" s="92" t="s">
        <v>118</v>
      </c>
      <c r="J22" s="93" t="s">
        <v>246</v>
      </c>
      <c r="K22" s="94">
        <f>1/(1-0.75)</f>
        <v>4</v>
      </c>
      <c r="L22" s="52"/>
      <c r="AV22" s="1" t="s">
        <v>266</v>
      </c>
    </row>
    <row r="23" spans="2:55" ht="15" thickBot="1" x14ac:dyDescent="0.35">
      <c r="F23" s="52"/>
      <c r="G23" s="52" t="s">
        <v>267</v>
      </c>
      <c r="H23" s="52"/>
      <c r="I23" s="95" t="s">
        <v>125</v>
      </c>
      <c r="J23" s="96" t="s">
        <v>268</v>
      </c>
      <c r="K23" s="97">
        <v>4</v>
      </c>
      <c r="L23" s="52"/>
      <c r="AV23" t="s">
        <v>269</v>
      </c>
    </row>
    <row r="24" spans="2:55" ht="15" thickBot="1" x14ac:dyDescent="0.35">
      <c r="F24" s="52" t="s">
        <v>236</v>
      </c>
      <c r="G24" s="52"/>
      <c r="H24" s="52"/>
      <c r="I24" s="52"/>
      <c r="J24" s="52" t="s">
        <v>268</v>
      </c>
      <c r="K24" s="52"/>
      <c r="L24" s="52"/>
      <c r="AV24" t="s">
        <v>270</v>
      </c>
    </row>
    <row r="25" spans="2:55" x14ac:dyDescent="0.3">
      <c r="C25" t="s">
        <v>267</v>
      </c>
      <c r="F25" s="52" t="s">
        <v>118</v>
      </c>
      <c r="G25" s="52">
        <f>(1-0.75)</f>
        <v>0.25</v>
      </c>
      <c r="H25" s="52" t="s">
        <v>241</v>
      </c>
      <c r="I25" s="52">
        <v>5</v>
      </c>
      <c r="J25" s="92">
        <f>I25/G25</f>
        <v>20</v>
      </c>
      <c r="K25" s="94" t="s">
        <v>271</v>
      </c>
      <c r="L25" s="52"/>
      <c r="AV25" t="s">
        <v>272</v>
      </c>
    </row>
    <row r="26" spans="2:55" ht="15" thickBot="1" x14ac:dyDescent="0.35">
      <c r="F26" s="52" t="s">
        <v>125</v>
      </c>
      <c r="G26" s="52">
        <f>(1-0.75)</f>
        <v>0.25</v>
      </c>
      <c r="H26" s="52" t="s">
        <v>241</v>
      </c>
      <c r="I26" s="52">
        <v>6</v>
      </c>
      <c r="J26" s="95">
        <f>I26/G26</f>
        <v>24</v>
      </c>
      <c r="K26" s="97" t="s">
        <v>271</v>
      </c>
      <c r="L26" s="52"/>
      <c r="N26" t="s">
        <v>241</v>
      </c>
      <c r="O26" t="s">
        <v>273</v>
      </c>
      <c r="P26" t="s">
        <v>273</v>
      </c>
      <c r="AV26" t="s">
        <v>274</v>
      </c>
    </row>
    <row r="27" spans="2:55" x14ac:dyDescent="0.3">
      <c r="B27" t="s">
        <v>275</v>
      </c>
      <c r="N27">
        <v>0</v>
      </c>
      <c r="O27">
        <v>0</v>
      </c>
      <c r="P27">
        <f>30+(0.8*N27)</f>
        <v>30</v>
      </c>
      <c r="AA27" t="s">
        <v>241</v>
      </c>
      <c r="AB27" t="s">
        <v>276</v>
      </c>
      <c r="AC27" t="s">
        <v>277</v>
      </c>
      <c r="AD27" t="s">
        <v>278</v>
      </c>
      <c r="AV27" t="s">
        <v>279</v>
      </c>
      <c r="BA27" t="s">
        <v>271</v>
      </c>
      <c r="BB27" t="s">
        <v>273</v>
      </c>
    </row>
    <row r="28" spans="2:55" x14ac:dyDescent="0.3">
      <c r="B28" t="s">
        <v>280</v>
      </c>
      <c r="N28">
        <v>10</v>
      </c>
      <c r="O28">
        <v>10</v>
      </c>
      <c r="P28">
        <f t="shared" ref="P28:P36" si="0">30+(0.8*N28)</f>
        <v>38</v>
      </c>
      <c r="AA28">
        <v>0</v>
      </c>
      <c r="AB28">
        <v>0</v>
      </c>
      <c r="AC28">
        <f>30+(0.8*AA28)</f>
        <v>30</v>
      </c>
      <c r="AD28">
        <f>26+(0.8*AB28)</f>
        <v>26</v>
      </c>
      <c r="AV28" t="s">
        <v>281</v>
      </c>
      <c r="BA28">
        <f>1-0.75+0.15</f>
        <v>0.4</v>
      </c>
      <c r="BB28">
        <f>1200+600+800+400</f>
        <v>3000</v>
      </c>
    </row>
    <row r="29" spans="2:55" x14ac:dyDescent="0.3">
      <c r="B29" t="s">
        <v>282</v>
      </c>
      <c r="N29">
        <v>20</v>
      </c>
      <c r="O29">
        <v>20</v>
      </c>
      <c r="P29">
        <f t="shared" si="0"/>
        <v>46</v>
      </c>
      <c r="AA29">
        <v>10</v>
      </c>
      <c r="AB29">
        <v>10</v>
      </c>
      <c r="AC29">
        <f t="shared" ref="AC29:AC39" si="1">30+(0.8*AA29)</f>
        <v>38</v>
      </c>
      <c r="AD29">
        <f t="shared" ref="AD29:AD39" si="2">26+(0.8*AB29)</f>
        <v>34</v>
      </c>
      <c r="AV29" t="s">
        <v>283</v>
      </c>
      <c r="BA29" t="s">
        <v>271</v>
      </c>
      <c r="BB29">
        <f>3000/0.4</f>
        <v>7500</v>
      </c>
    </row>
    <row r="30" spans="2:55" x14ac:dyDescent="0.3">
      <c r="B30" s="1" t="s">
        <v>284</v>
      </c>
      <c r="C30" s="1"/>
      <c r="D30" s="1"/>
      <c r="E30" s="1"/>
      <c r="F30" s="1"/>
      <c r="G30" s="1"/>
      <c r="H30" s="1"/>
      <c r="N30">
        <v>30</v>
      </c>
      <c r="O30">
        <v>30</v>
      </c>
      <c r="P30">
        <f t="shared" si="0"/>
        <v>54</v>
      </c>
      <c r="AA30">
        <v>20</v>
      </c>
      <c r="AB30">
        <v>20</v>
      </c>
      <c r="AC30">
        <f t="shared" si="1"/>
        <v>46</v>
      </c>
      <c r="AD30">
        <f t="shared" si="2"/>
        <v>42</v>
      </c>
      <c r="AV30" t="s">
        <v>285</v>
      </c>
    </row>
    <row r="31" spans="2:55" x14ac:dyDescent="0.3">
      <c r="B31" t="s">
        <v>286</v>
      </c>
      <c r="N31">
        <v>40</v>
      </c>
      <c r="O31">
        <v>40</v>
      </c>
      <c r="P31">
        <f t="shared" si="0"/>
        <v>62</v>
      </c>
      <c r="AA31">
        <v>30</v>
      </c>
      <c r="AB31">
        <v>30</v>
      </c>
      <c r="AC31">
        <f t="shared" si="1"/>
        <v>54</v>
      </c>
      <c r="AD31">
        <f t="shared" si="2"/>
        <v>50</v>
      </c>
      <c r="AV31" t="s">
        <v>287</v>
      </c>
    </row>
    <row r="32" spans="2:55" x14ac:dyDescent="0.3">
      <c r="D32" t="s">
        <v>288</v>
      </c>
      <c r="N32">
        <v>50</v>
      </c>
      <c r="O32">
        <v>50</v>
      </c>
      <c r="P32">
        <f t="shared" si="0"/>
        <v>70</v>
      </c>
      <c r="AA32">
        <v>40</v>
      </c>
      <c r="AB32">
        <v>40</v>
      </c>
      <c r="AC32">
        <f t="shared" si="1"/>
        <v>62</v>
      </c>
      <c r="AD32">
        <f t="shared" si="2"/>
        <v>58</v>
      </c>
      <c r="AV32" t="s">
        <v>289</v>
      </c>
    </row>
    <row r="33" spans="3:65" x14ac:dyDescent="0.3">
      <c r="D33" t="s">
        <v>290</v>
      </c>
      <c r="F33" t="s">
        <v>238</v>
      </c>
      <c r="N33">
        <v>60</v>
      </c>
      <c r="O33">
        <v>60</v>
      </c>
      <c r="P33">
        <f t="shared" si="0"/>
        <v>78</v>
      </c>
      <c r="AA33">
        <v>50</v>
      </c>
      <c r="AB33">
        <v>50</v>
      </c>
      <c r="AC33">
        <f t="shared" si="1"/>
        <v>70</v>
      </c>
      <c r="AD33">
        <f t="shared" si="2"/>
        <v>66</v>
      </c>
    </row>
    <row r="34" spans="3:65" ht="15" thickBot="1" x14ac:dyDescent="0.35">
      <c r="D34" t="s">
        <v>236</v>
      </c>
      <c r="N34">
        <v>100</v>
      </c>
      <c r="O34">
        <v>100</v>
      </c>
      <c r="P34">
        <f t="shared" si="0"/>
        <v>110</v>
      </c>
      <c r="AA34">
        <v>60</v>
      </c>
      <c r="AB34">
        <v>60</v>
      </c>
      <c r="AC34">
        <f t="shared" si="1"/>
        <v>78</v>
      </c>
      <c r="AD34">
        <f t="shared" si="2"/>
        <v>74</v>
      </c>
      <c r="AV34" t="s">
        <v>291</v>
      </c>
    </row>
    <row r="35" spans="3:65" ht="15" thickBot="1" x14ac:dyDescent="0.35">
      <c r="D35" s="52" t="s">
        <v>292</v>
      </c>
      <c r="E35" s="52"/>
      <c r="F35" s="52"/>
      <c r="G35" s="52"/>
      <c r="H35" s="89" t="s">
        <v>293</v>
      </c>
      <c r="I35" s="91">
        <v>30</v>
      </c>
      <c r="J35" s="52"/>
      <c r="K35" s="89" t="s">
        <v>241</v>
      </c>
      <c r="L35" s="91">
        <f>30/0.2</f>
        <v>150</v>
      </c>
      <c r="N35">
        <v>200</v>
      </c>
      <c r="O35">
        <v>200</v>
      </c>
      <c r="P35">
        <f t="shared" si="0"/>
        <v>190</v>
      </c>
      <c r="AA35">
        <v>100</v>
      </c>
      <c r="AB35">
        <v>100</v>
      </c>
      <c r="AC35">
        <f t="shared" si="1"/>
        <v>110</v>
      </c>
      <c r="AD35">
        <f t="shared" si="2"/>
        <v>106</v>
      </c>
    </row>
    <row r="36" spans="3:65" x14ac:dyDescent="0.3">
      <c r="N36">
        <v>300</v>
      </c>
      <c r="O36">
        <v>300</v>
      </c>
      <c r="P36">
        <f t="shared" si="0"/>
        <v>270</v>
      </c>
      <c r="AA36">
        <v>200</v>
      </c>
      <c r="AB36">
        <v>200</v>
      </c>
      <c r="AC36">
        <f t="shared" si="1"/>
        <v>190</v>
      </c>
      <c r="AD36">
        <f t="shared" si="2"/>
        <v>186</v>
      </c>
    </row>
    <row r="37" spans="3:65" x14ac:dyDescent="0.3">
      <c r="F37" s="52" t="s">
        <v>294</v>
      </c>
      <c r="AA37">
        <v>300</v>
      </c>
      <c r="AB37">
        <v>300</v>
      </c>
      <c r="AC37">
        <f t="shared" si="1"/>
        <v>270</v>
      </c>
      <c r="AD37">
        <f t="shared" si="2"/>
        <v>266</v>
      </c>
    </row>
    <row r="38" spans="3:65" ht="18.600000000000001" thickBot="1" x14ac:dyDescent="0.4">
      <c r="D38" t="s">
        <v>295</v>
      </c>
      <c r="F38" s="58" t="s">
        <v>296</v>
      </c>
      <c r="I38" t="s">
        <v>297</v>
      </c>
      <c r="J38">
        <f>1/(1-0.8)</f>
        <v>5.0000000000000009</v>
      </c>
      <c r="AA38">
        <v>130</v>
      </c>
      <c r="AB38">
        <v>130</v>
      </c>
      <c r="AC38">
        <f t="shared" si="1"/>
        <v>134</v>
      </c>
      <c r="AD38">
        <f t="shared" si="2"/>
        <v>130</v>
      </c>
      <c r="BJ38" t="s">
        <v>298</v>
      </c>
    </row>
    <row r="39" spans="3:65" ht="15" thickBot="1" x14ac:dyDescent="0.35">
      <c r="C39" s="61" t="s">
        <v>241</v>
      </c>
      <c r="D39" s="45">
        <f>10/0.2</f>
        <v>50</v>
      </c>
      <c r="AA39">
        <v>150</v>
      </c>
      <c r="AB39">
        <v>150</v>
      </c>
      <c r="AC39">
        <f t="shared" si="1"/>
        <v>150</v>
      </c>
      <c r="AD39">
        <f t="shared" si="2"/>
        <v>146</v>
      </c>
    </row>
    <row r="40" spans="3:65" x14ac:dyDescent="0.3">
      <c r="BL40" t="s">
        <v>299</v>
      </c>
    </row>
    <row r="41" spans="3:65" x14ac:dyDescent="0.3">
      <c r="BJ41" t="s">
        <v>300</v>
      </c>
      <c r="BL41" s="31">
        <f>400/0.15</f>
        <v>2666.666666666667</v>
      </c>
      <c r="BM41" s="31" t="s">
        <v>271</v>
      </c>
    </row>
    <row r="42" spans="3:65" x14ac:dyDescent="0.3">
      <c r="D42" s="52" t="s">
        <v>301</v>
      </c>
      <c r="E42" s="52"/>
      <c r="F42" t="s">
        <v>238</v>
      </c>
      <c r="AV42" t="s">
        <v>302</v>
      </c>
    </row>
    <row r="43" spans="3:65" x14ac:dyDescent="0.3">
      <c r="D43" s="52" t="s">
        <v>236</v>
      </c>
      <c r="E43" s="52"/>
      <c r="AV43" t="s">
        <v>303</v>
      </c>
      <c r="BJ43" t="s">
        <v>241</v>
      </c>
      <c r="BK43">
        <v>0</v>
      </c>
      <c r="BL43" t="s">
        <v>304</v>
      </c>
      <c r="BM43">
        <f>400-0.15*BK43</f>
        <v>400</v>
      </c>
    </row>
    <row r="44" spans="3:65" x14ac:dyDescent="0.3">
      <c r="D44" s="52" t="s">
        <v>305</v>
      </c>
      <c r="E44" s="52"/>
      <c r="H44" t="s">
        <v>293</v>
      </c>
      <c r="I44">
        <v>26</v>
      </c>
      <c r="K44" t="s">
        <v>241</v>
      </c>
      <c r="L44">
        <f>26/0.2</f>
        <v>130</v>
      </c>
      <c r="AV44" t="s">
        <v>306</v>
      </c>
      <c r="BG44" s="52"/>
      <c r="BK44">
        <v>100</v>
      </c>
      <c r="BM44">
        <f t="shared" ref="BM44:BM50" si="3">400-0.15*BK44</f>
        <v>385</v>
      </c>
    </row>
    <row r="45" spans="3:65" x14ac:dyDescent="0.3">
      <c r="AV45" t="s">
        <v>307</v>
      </c>
      <c r="BK45">
        <v>200</v>
      </c>
      <c r="BM45">
        <f t="shared" si="3"/>
        <v>370</v>
      </c>
    </row>
    <row r="46" spans="3:65" x14ac:dyDescent="0.3">
      <c r="AV46" t="s">
        <v>308</v>
      </c>
      <c r="BK46">
        <v>300</v>
      </c>
      <c r="BM46">
        <f t="shared" si="3"/>
        <v>355</v>
      </c>
    </row>
    <row r="47" spans="3:65" x14ac:dyDescent="0.3">
      <c r="AV47" t="s">
        <v>309</v>
      </c>
      <c r="BK47">
        <v>400</v>
      </c>
      <c r="BM47">
        <f t="shared" si="3"/>
        <v>340</v>
      </c>
    </row>
    <row r="48" spans="3:65" x14ac:dyDescent="0.3">
      <c r="AV48" t="s">
        <v>310</v>
      </c>
      <c r="BK48">
        <v>1000</v>
      </c>
      <c r="BM48">
        <f t="shared" si="3"/>
        <v>250</v>
      </c>
    </row>
    <row r="49" spans="48:65" x14ac:dyDescent="0.3">
      <c r="AV49" t="s">
        <v>311</v>
      </c>
      <c r="BK49">
        <v>2000</v>
      </c>
      <c r="BM49">
        <f t="shared" si="3"/>
        <v>100</v>
      </c>
    </row>
    <row r="50" spans="48:65" x14ac:dyDescent="0.3">
      <c r="AV50" t="s">
        <v>312</v>
      </c>
      <c r="BK50">
        <v>3000</v>
      </c>
      <c r="BM50">
        <f t="shared" si="3"/>
        <v>-50</v>
      </c>
    </row>
    <row r="51" spans="48:65" x14ac:dyDescent="0.3">
      <c r="AV51" t="s">
        <v>313</v>
      </c>
      <c r="BK51">
        <v>4000</v>
      </c>
      <c r="BM51">
        <f>400-0.15*BK51</f>
        <v>-200</v>
      </c>
    </row>
    <row r="52" spans="48:65" x14ac:dyDescent="0.3">
      <c r="AV52" t="s">
        <v>314</v>
      </c>
      <c r="BK52">
        <v>6000</v>
      </c>
      <c r="BM52">
        <f>400-0.15*BK52</f>
        <v>-500</v>
      </c>
    </row>
    <row r="53" spans="48:65" x14ac:dyDescent="0.3">
      <c r="AV53" t="s">
        <v>315</v>
      </c>
    </row>
    <row r="54" spans="48:65" x14ac:dyDescent="0.3">
      <c r="AV54" t="s">
        <v>316</v>
      </c>
    </row>
    <row r="55" spans="48:65" x14ac:dyDescent="0.3">
      <c r="AV55" t="s">
        <v>317</v>
      </c>
    </row>
    <row r="56" spans="48:65" x14ac:dyDescent="0.3">
      <c r="AV56" s="1" t="s">
        <v>318</v>
      </c>
    </row>
    <row r="57" spans="48:65" x14ac:dyDescent="0.3">
      <c r="AV57" t="s">
        <v>319</v>
      </c>
    </row>
    <row r="58" spans="48:65" x14ac:dyDescent="0.3">
      <c r="AV58" t="s">
        <v>320</v>
      </c>
    </row>
    <row r="59" spans="48:65" x14ac:dyDescent="0.3">
      <c r="AV59" t="s">
        <v>321</v>
      </c>
    </row>
    <row r="60" spans="48:65" x14ac:dyDescent="0.3">
      <c r="AV60" t="s">
        <v>322</v>
      </c>
    </row>
    <row r="61" spans="48:65" x14ac:dyDescent="0.3">
      <c r="AV61" s="1" t="s">
        <v>323</v>
      </c>
      <c r="AW61" s="1"/>
    </row>
    <row r="62" spans="48:65" x14ac:dyDescent="0.3">
      <c r="AV62" s="1" t="s">
        <v>324</v>
      </c>
      <c r="AW62" s="1"/>
    </row>
    <row r="63" spans="48:65" x14ac:dyDescent="0.3">
      <c r="AV63" s="1" t="s">
        <v>325</v>
      </c>
      <c r="AW63" s="1"/>
    </row>
    <row r="64" spans="48:65" x14ac:dyDescent="0.3">
      <c r="AV64" s="1" t="s">
        <v>326</v>
      </c>
      <c r="AW64" s="1"/>
    </row>
    <row r="65" spans="48:49" x14ac:dyDescent="0.3">
      <c r="AV65" s="1" t="s">
        <v>327</v>
      </c>
      <c r="AW65" s="1"/>
    </row>
    <row r="66" spans="48:49" x14ac:dyDescent="0.3">
      <c r="AV66" t="s">
        <v>328</v>
      </c>
    </row>
    <row r="67" spans="48:49" x14ac:dyDescent="0.3">
      <c r="AW67" t="s">
        <v>329</v>
      </c>
    </row>
    <row r="81" spans="2:75" x14ac:dyDescent="0.3">
      <c r="AY81" t="s">
        <v>431</v>
      </c>
    </row>
    <row r="85" spans="2:75" x14ac:dyDescent="0.3">
      <c r="AY85" t="s">
        <v>330</v>
      </c>
      <c r="BN85" t="s">
        <v>432</v>
      </c>
    </row>
    <row r="86" spans="2:75" x14ac:dyDescent="0.3">
      <c r="AY86" t="s">
        <v>331</v>
      </c>
      <c r="BN86" t="s">
        <v>332</v>
      </c>
    </row>
    <row r="87" spans="2:75" x14ac:dyDescent="0.3">
      <c r="N87" t="s">
        <v>333</v>
      </c>
      <c r="AY87" t="s">
        <v>334</v>
      </c>
      <c r="BN87" t="s">
        <v>335</v>
      </c>
    </row>
    <row r="88" spans="2:75" x14ac:dyDescent="0.3">
      <c r="BN88" t="s">
        <v>336</v>
      </c>
    </row>
    <row r="89" spans="2:75" ht="18" x14ac:dyDescent="0.35">
      <c r="H89" s="98" t="s">
        <v>337</v>
      </c>
      <c r="I89" s="1"/>
      <c r="J89" s="1" t="s">
        <v>338</v>
      </c>
      <c r="K89" s="1"/>
      <c r="BN89" t="s">
        <v>339</v>
      </c>
    </row>
    <row r="90" spans="2:75" x14ac:dyDescent="0.3">
      <c r="H90" t="s">
        <v>340</v>
      </c>
      <c r="AZ90" t="s">
        <v>299</v>
      </c>
    </row>
    <row r="91" spans="2:75" ht="18" x14ac:dyDescent="0.35">
      <c r="AZ91" t="s">
        <v>271</v>
      </c>
      <c r="BA91">
        <f>20/0.1</f>
        <v>200</v>
      </c>
      <c r="BD91" s="99" t="s">
        <v>341</v>
      </c>
      <c r="BE91" s="50"/>
    </row>
    <row r="93" spans="2:75" ht="18" x14ac:dyDescent="0.35">
      <c r="B93" t="s">
        <v>342</v>
      </c>
      <c r="BD93" s="99" t="s">
        <v>273</v>
      </c>
      <c r="BE93" s="99" t="s">
        <v>343</v>
      </c>
      <c r="BF93" s="99"/>
      <c r="BG93" s="99"/>
      <c r="BH93" s="99"/>
      <c r="BI93" s="99"/>
      <c r="BJ93" s="99">
        <f>20+0.75*(1-BD103)*120+25+15+20-0.1*120</f>
        <v>120</v>
      </c>
      <c r="BN93" t="s">
        <v>118</v>
      </c>
      <c r="BO93" t="s">
        <v>344</v>
      </c>
    </row>
    <row r="94" spans="2:75" x14ac:dyDescent="0.3">
      <c r="B94" t="s">
        <v>345</v>
      </c>
      <c r="AW94" s="48"/>
      <c r="BD94" t="s">
        <v>273</v>
      </c>
      <c r="BE94">
        <f>20+25+15+20</f>
        <v>80</v>
      </c>
      <c r="BF94" t="s">
        <v>346</v>
      </c>
      <c r="BN94" t="s">
        <v>125</v>
      </c>
      <c r="BO94" t="s">
        <v>236</v>
      </c>
    </row>
    <row r="95" spans="2:75" x14ac:dyDescent="0.3">
      <c r="AW95" s="48"/>
      <c r="BF95" t="s">
        <v>347</v>
      </c>
      <c r="BP95" t="s">
        <v>348</v>
      </c>
      <c r="BW95" t="s">
        <v>349</v>
      </c>
    </row>
    <row r="96" spans="2:75" ht="15" thickBot="1" x14ac:dyDescent="0.35">
      <c r="H96" t="s">
        <v>350</v>
      </c>
      <c r="I96" t="s">
        <v>351</v>
      </c>
      <c r="J96" t="s">
        <v>350</v>
      </c>
      <c r="K96" t="s">
        <v>352</v>
      </c>
      <c r="L96" t="s">
        <v>353</v>
      </c>
      <c r="AW96" s="48"/>
      <c r="BD96" t="s">
        <v>271</v>
      </c>
      <c r="BE96" t="s">
        <v>354</v>
      </c>
      <c r="BF96" t="s">
        <v>355</v>
      </c>
      <c r="BG96" t="s">
        <v>356</v>
      </c>
      <c r="BH96" t="s">
        <v>357</v>
      </c>
    </row>
    <row r="97" spans="2:78" ht="15" thickBot="1" x14ac:dyDescent="0.35">
      <c r="B97" t="s">
        <v>358</v>
      </c>
      <c r="F97" s="52" t="s">
        <v>297</v>
      </c>
      <c r="G97" s="52">
        <f>1/(1-0.75)</f>
        <v>4</v>
      </c>
      <c r="H97" s="52">
        <f>G97*100</f>
        <v>400</v>
      </c>
      <c r="I97" s="1">
        <f>1/(1-0.75+0.1)</f>
        <v>2.8571428571428572</v>
      </c>
      <c r="J97" s="100">
        <f>I97*100</f>
        <v>285.71428571428572</v>
      </c>
      <c r="K97" s="18">
        <f>J97+3000</f>
        <v>3285.7142857142858</v>
      </c>
      <c r="L97">
        <f>H97+3000</f>
        <v>3400</v>
      </c>
      <c r="BJ97">
        <f>20+0.75*(1-BD103)*BJ93+25+15+20-0.1*BJ93</f>
        <v>120</v>
      </c>
      <c r="BO97" t="s">
        <v>359</v>
      </c>
      <c r="BP97">
        <f>200+90+65</f>
        <v>355</v>
      </c>
    </row>
    <row r="98" spans="2:78" x14ac:dyDescent="0.3">
      <c r="B98" t="s">
        <v>360</v>
      </c>
      <c r="F98" s="52" t="s">
        <v>297</v>
      </c>
      <c r="G98" s="52">
        <f>1/(1-0.75)</f>
        <v>4</v>
      </c>
      <c r="H98" s="52">
        <f>G98*100</f>
        <v>400</v>
      </c>
      <c r="I98" s="1">
        <f>1/(1-0.75+0.1)</f>
        <v>2.8571428571428572</v>
      </c>
      <c r="J98" s="101">
        <f>I98*100</f>
        <v>285.71428571428572</v>
      </c>
      <c r="K98" s="18">
        <f>J98+3000</f>
        <v>3285.7142857142858</v>
      </c>
      <c r="L98">
        <f>H98+3000</f>
        <v>3400</v>
      </c>
      <c r="W98" t="s">
        <v>361</v>
      </c>
      <c r="BD98">
        <f>BA91-80</f>
        <v>120</v>
      </c>
      <c r="BE98" t="s">
        <v>362</v>
      </c>
      <c r="BF98" t="s">
        <v>356</v>
      </c>
      <c r="BG98" t="s">
        <v>363</v>
      </c>
      <c r="BO98" s="13" t="s">
        <v>364</v>
      </c>
      <c r="BP98" s="4">
        <f>BP97/3</f>
        <v>118.33333333333333</v>
      </c>
      <c r="BW98" t="s">
        <v>365</v>
      </c>
    </row>
    <row r="99" spans="2:78" ht="16.8" thickBot="1" x14ac:dyDescent="0.35">
      <c r="B99" t="s">
        <v>366</v>
      </c>
      <c r="F99" s="102" t="s">
        <v>367</v>
      </c>
      <c r="G99" s="52">
        <f>0.75/(1-0.75)</f>
        <v>3</v>
      </c>
      <c r="H99" s="52">
        <f>G99*100</f>
        <v>300</v>
      </c>
      <c r="I99">
        <f>0.75/(1-0.75+0.1)</f>
        <v>2.1428571428571428</v>
      </c>
      <c r="J99" s="101">
        <f>I99*100</f>
        <v>214.28571428571428</v>
      </c>
      <c r="K99" s="18">
        <f>J99+3000</f>
        <v>3214.2857142857142</v>
      </c>
      <c r="L99">
        <f>H99+3000</f>
        <v>3300</v>
      </c>
      <c r="P99" s="103" t="s">
        <v>367</v>
      </c>
      <c r="S99" s="104" t="s">
        <v>368</v>
      </c>
      <c r="BO99" s="25" t="s">
        <v>369</v>
      </c>
      <c r="BP99" s="8">
        <f>BP98+250</f>
        <v>368.33333333333331</v>
      </c>
    </row>
    <row r="100" spans="2:78" ht="15" thickBot="1" x14ac:dyDescent="0.35">
      <c r="B100" t="s">
        <v>370</v>
      </c>
      <c r="F100" s="105" t="s">
        <v>371</v>
      </c>
      <c r="G100" s="52">
        <f>-0.75/(1-0.75)</f>
        <v>-3</v>
      </c>
      <c r="H100" s="52">
        <f>G100*100</f>
        <v>-300</v>
      </c>
      <c r="I100">
        <f>-0.75/(1-0.75+0.1)</f>
        <v>-2.1428571428571428</v>
      </c>
      <c r="J100" s="106">
        <f>I100*100</f>
        <v>-214.28571428571428</v>
      </c>
      <c r="K100" s="18">
        <f>J100+3000</f>
        <v>2785.7142857142858</v>
      </c>
      <c r="L100">
        <f>H100+3000</f>
        <v>2700</v>
      </c>
      <c r="N100">
        <v>3000</v>
      </c>
      <c r="O100" t="s">
        <v>236</v>
      </c>
      <c r="BD100">
        <v>120</v>
      </c>
      <c r="BE100">
        <f>(0.75-0.1)*120</f>
        <v>78</v>
      </c>
      <c r="BF100">
        <f>120*-0.75</f>
        <v>-90</v>
      </c>
      <c r="BG100" t="s">
        <v>372</v>
      </c>
      <c r="BH100">
        <v>80</v>
      </c>
      <c r="BW100" s="70" t="s">
        <v>373</v>
      </c>
      <c r="BX100" s="107" t="s">
        <v>374</v>
      </c>
      <c r="BY100" s="15" t="s">
        <v>375</v>
      </c>
      <c r="BZ100" s="1"/>
    </row>
    <row r="101" spans="2:78" x14ac:dyDescent="0.3">
      <c r="B101" t="s">
        <v>376</v>
      </c>
      <c r="F101" s="52" t="s">
        <v>377</v>
      </c>
      <c r="G101" s="52">
        <f>1/(1-0.75+0.1)</f>
        <v>2.8571428571428572</v>
      </c>
      <c r="H101" s="52">
        <f>G101*100</f>
        <v>285.71428571428572</v>
      </c>
      <c r="J101">
        <v>285.71428571428572</v>
      </c>
      <c r="K101">
        <v>3285.7142857142858</v>
      </c>
      <c r="L101">
        <v>3400</v>
      </c>
      <c r="BD101">
        <v>200</v>
      </c>
      <c r="BE101">
        <f>(0.75-0.1)*200</f>
        <v>130</v>
      </c>
      <c r="BF101">
        <f>200*-0.75</f>
        <v>-150</v>
      </c>
      <c r="BG101" t="s">
        <v>372</v>
      </c>
      <c r="BH101">
        <v>80</v>
      </c>
      <c r="BW101" s="22"/>
      <c r="BY101" s="23"/>
    </row>
    <row r="102" spans="2:78" x14ac:dyDescent="0.3">
      <c r="F102" s="52"/>
      <c r="G102" s="52"/>
      <c r="H102" s="52" t="s">
        <v>378</v>
      </c>
      <c r="BD102">
        <f>BD100-BE100-BH100</f>
        <v>-38</v>
      </c>
      <c r="BW102" s="22"/>
      <c r="BY102" s="23"/>
    </row>
    <row r="103" spans="2:78" ht="18.600000000000001" thickBot="1" x14ac:dyDescent="0.4">
      <c r="K103" s="1" t="s">
        <v>379</v>
      </c>
      <c r="L103" s="1" t="s">
        <v>380</v>
      </c>
      <c r="BC103" s="99" t="s">
        <v>372</v>
      </c>
      <c r="BD103" s="99">
        <f>BD102/BF100</f>
        <v>0.42222222222222222</v>
      </c>
      <c r="BW103" s="25">
        <v>250</v>
      </c>
      <c r="BX103" s="7">
        <f>1/0.3</f>
        <v>3.3333333333333335</v>
      </c>
      <c r="BY103" s="8">
        <f>-0.7/0.3</f>
        <v>-2.3333333333333335</v>
      </c>
    </row>
    <row r="104" spans="2:78" ht="15.6" x14ac:dyDescent="0.3">
      <c r="BW104" s="108" t="s">
        <v>381</v>
      </c>
      <c r="BX104" s="108">
        <f>BX103+BY103</f>
        <v>1</v>
      </c>
      <c r="BY104" s="108" t="s">
        <v>382</v>
      </c>
    </row>
    <row r="105" spans="2:78" x14ac:dyDescent="0.3">
      <c r="BD105">
        <f>BD101-BE101-BH101</f>
        <v>-10</v>
      </c>
    </row>
    <row r="106" spans="2:78" x14ac:dyDescent="0.3">
      <c r="B106" t="s">
        <v>383</v>
      </c>
    </row>
    <row r="107" spans="2:78" x14ac:dyDescent="0.3">
      <c r="B107" t="s">
        <v>384</v>
      </c>
      <c r="BD107">
        <f>BD105/BF101</f>
        <v>6.6666666666666666E-2</v>
      </c>
    </row>
    <row r="108" spans="2:78" x14ac:dyDescent="0.3">
      <c r="B108" t="s">
        <v>385</v>
      </c>
      <c r="M108" t="s">
        <v>386</v>
      </c>
      <c r="O108" t="s">
        <v>387</v>
      </c>
    </row>
    <row r="109" spans="2:78" x14ac:dyDescent="0.3">
      <c r="B109" t="s">
        <v>388</v>
      </c>
    </row>
    <row r="110" spans="2:78" ht="15" thickBot="1" x14ac:dyDescent="0.35">
      <c r="B110" t="s">
        <v>389</v>
      </c>
      <c r="M110" t="s">
        <v>125</v>
      </c>
    </row>
    <row r="111" spans="2:78" x14ac:dyDescent="0.3">
      <c r="G111" t="s">
        <v>98</v>
      </c>
      <c r="H111" t="s">
        <v>100</v>
      </c>
      <c r="I111" t="s">
        <v>99</v>
      </c>
      <c r="J111" s="13" t="s">
        <v>167</v>
      </c>
      <c r="K111" s="4" t="s">
        <v>168</v>
      </c>
      <c r="M111" t="s">
        <v>101</v>
      </c>
      <c r="N111">
        <f>J112-0.2*3000</f>
        <v>-100</v>
      </c>
    </row>
    <row r="112" spans="2:78" ht="15" thickBot="1" x14ac:dyDescent="0.35">
      <c r="B112" t="s">
        <v>390</v>
      </c>
      <c r="C112" t="s">
        <v>391</v>
      </c>
      <c r="G112">
        <v>2000</v>
      </c>
      <c r="H112">
        <v>700</v>
      </c>
      <c r="I112">
        <v>1000</v>
      </c>
      <c r="J112" s="25">
        <v>500</v>
      </c>
      <c r="K112" s="8" t="s">
        <v>392</v>
      </c>
      <c r="M112" t="s">
        <v>101</v>
      </c>
      <c r="N112">
        <v>0</v>
      </c>
      <c r="O112" t="s">
        <v>271</v>
      </c>
      <c r="P112">
        <f>J112/2</f>
        <v>250</v>
      </c>
    </row>
    <row r="113" spans="1:36" x14ac:dyDescent="0.3">
      <c r="AA113" t="s">
        <v>98</v>
      </c>
      <c r="AB113" t="s">
        <v>100</v>
      </c>
      <c r="AC113" t="s">
        <v>99</v>
      </c>
      <c r="AD113" t="s">
        <v>167</v>
      </c>
      <c r="AE113" t="s">
        <v>168</v>
      </c>
    </row>
    <row r="114" spans="1:36" x14ac:dyDescent="0.3">
      <c r="D114" t="s">
        <v>393</v>
      </c>
      <c r="AA114">
        <v>2000</v>
      </c>
      <c r="AB114">
        <v>700</v>
      </c>
      <c r="AC114">
        <v>1000</v>
      </c>
      <c r="AD114">
        <v>530</v>
      </c>
      <c r="AE114" t="s">
        <v>392</v>
      </c>
      <c r="AF114">
        <f>SUM(AA114:AD114)</f>
        <v>4230</v>
      </c>
    </row>
    <row r="115" spans="1:36" x14ac:dyDescent="0.3">
      <c r="D115" t="s">
        <v>273</v>
      </c>
      <c r="E115" t="s">
        <v>394</v>
      </c>
      <c r="F115" t="s">
        <v>395</v>
      </c>
    </row>
    <row r="116" spans="1:36" x14ac:dyDescent="0.3">
      <c r="A116" t="s">
        <v>396</v>
      </c>
      <c r="C116" t="s">
        <v>271</v>
      </c>
      <c r="D116">
        <f>1-0.9+0.2</f>
        <v>0.3</v>
      </c>
      <c r="E116">
        <f>G112+H112+I112+J112</f>
        <v>4200</v>
      </c>
      <c r="AC116" t="s">
        <v>397</v>
      </c>
    </row>
    <row r="117" spans="1:36" x14ac:dyDescent="0.3">
      <c r="C117" t="s">
        <v>271</v>
      </c>
      <c r="D117">
        <f>E116/D116</f>
        <v>14000</v>
      </c>
      <c r="AC117" t="s">
        <v>273</v>
      </c>
      <c r="AD117">
        <f>SUM(AB114:AD114)+2000</f>
        <v>4230</v>
      </c>
      <c r="AE117" t="s">
        <v>395</v>
      </c>
      <c r="AI117" t="s">
        <v>398</v>
      </c>
      <c r="AJ117">
        <f>1/(1-0.9+0.2)</f>
        <v>3.3333333333333335</v>
      </c>
    </row>
    <row r="118" spans="1:36" ht="15" thickBot="1" x14ac:dyDescent="0.35">
      <c r="AB118" t="s">
        <v>271</v>
      </c>
      <c r="AC118">
        <f>1-0.9+0.2</f>
        <v>0.3</v>
      </c>
      <c r="AD118">
        <v>4230</v>
      </c>
    </row>
    <row r="119" spans="1:36" ht="15" thickBot="1" x14ac:dyDescent="0.35">
      <c r="B119" t="s">
        <v>399</v>
      </c>
      <c r="W119" t="s">
        <v>400</v>
      </c>
      <c r="Y119">
        <f>Y122*0.3</f>
        <v>75</v>
      </c>
      <c r="AB119" t="s">
        <v>271</v>
      </c>
      <c r="AC119">
        <f>AD118/AC118</f>
        <v>14100</v>
      </c>
      <c r="AI119" s="109" t="s">
        <v>401</v>
      </c>
      <c r="AJ119" s="110">
        <f>AJ117*30</f>
        <v>100</v>
      </c>
    </row>
    <row r="120" spans="1:36" ht="18.600000000000001" thickBot="1" x14ac:dyDescent="0.4">
      <c r="B120" t="s">
        <v>402</v>
      </c>
      <c r="T120" s="111" t="s">
        <v>403</v>
      </c>
      <c r="U120" s="112" t="s">
        <v>404</v>
      </c>
      <c r="V120" s="113"/>
      <c r="W120" s="18"/>
      <c r="X120" s="109" t="s">
        <v>405</v>
      </c>
    </row>
    <row r="121" spans="1:36" x14ac:dyDescent="0.3">
      <c r="B121" t="s">
        <v>406</v>
      </c>
      <c r="W121" s="18" t="s">
        <v>407</v>
      </c>
      <c r="X121" s="18">
        <f>0.7/0.3</f>
        <v>2.3333333333333335</v>
      </c>
      <c r="Y121">
        <f>X121*V128</f>
        <v>175</v>
      </c>
      <c r="Z121" t="s">
        <v>408</v>
      </c>
    </row>
    <row r="122" spans="1:36" ht="15" thickBot="1" x14ac:dyDescent="0.35">
      <c r="B122" t="s">
        <v>409</v>
      </c>
      <c r="Y122">
        <f>T128*V128</f>
        <v>250</v>
      </c>
      <c r="Z122" t="s">
        <v>410</v>
      </c>
    </row>
    <row r="123" spans="1:36" ht="15" thickBot="1" x14ac:dyDescent="0.35">
      <c r="B123" t="s">
        <v>411</v>
      </c>
      <c r="T123" s="114">
        <v>75</v>
      </c>
      <c r="U123" s="115" t="s">
        <v>412</v>
      </c>
      <c r="V123" s="69"/>
      <c r="W123" s="116"/>
      <c r="X123" s="116"/>
      <c r="Y123" s="117">
        <f>Y122-Y121</f>
        <v>75</v>
      </c>
      <c r="Z123" t="s">
        <v>413</v>
      </c>
    </row>
    <row r="125" spans="1:36" ht="18.600000000000001" thickBot="1" x14ac:dyDescent="0.4">
      <c r="F125" t="s">
        <v>414</v>
      </c>
      <c r="G125">
        <v>200</v>
      </c>
      <c r="J125" t="s">
        <v>226</v>
      </c>
      <c r="K125">
        <v>0.7</v>
      </c>
      <c r="P125" s="98" t="s">
        <v>118</v>
      </c>
      <c r="Q125" s="98" t="s">
        <v>344</v>
      </c>
      <c r="R125" s="98"/>
    </row>
    <row r="126" spans="1:36" ht="18.600000000000001" thickBot="1" x14ac:dyDescent="0.4">
      <c r="F126" t="s">
        <v>415</v>
      </c>
      <c r="G126">
        <v>90</v>
      </c>
      <c r="X126" s="111" t="s">
        <v>403</v>
      </c>
      <c r="Y126" s="112" t="s">
        <v>404</v>
      </c>
      <c r="Z126" s="113"/>
    </row>
    <row r="127" spans="1:36" ht="15" thickBot="1" x14ac:dyDescent="0.35">
      <c r="F127" t="s">
        <v>100</v>
      </c>
      <c r="G127">
        <v>65</v>
      </c>
      <c r="K127" t="s">
        <v>241</v>
      </c>
      <c r="L127" t="s">
        <v>416</v>
      </c>
      <c r="N127" s="35">
        <f>N128+250</f>
        <v>1433.3333333333335</v>
      </c>
      <c r="O127" s="35" t="s">
        <v>396</v>
      </c>
    </row>
    <row r="128" spans="1:36" ht="15" thickBot="1" x14ac:dyDescent="0.35">
      <c r="F128" t="s">
        <v>417</v>
      </c>
      <c r="G128">
        <f>SUM(G125:G127)</f>
        <v>355</v>
      </c>
      <c r="K128" t="s">
        <v>418</v>
      </c>
      <c r="L128">
        <v>355</v>
      </c>
      <c r="N128" s="18">
        <f>L128/0.3</f>
        <v>1183.3333333333335</v>
      </c>
      <c r="P128" s="118" t="s">
        <v>401</v>
      </c>
      <c r="Q128" s="119">
        <v>250</v>
      </c>
      <c r="R128" s="35"/>
      <c r="S128" s="118" t="s">
        <v>419</v>
      </c>
      <c r="T128" s="120">
        <f>1/0.3</f>
        <v>3.3333333333333335</v>
      </c>
      <c r="U128" s="35" t="s">
        <v>420</v>
      </c>
      <c r="V128" s="35">
        <f>Q128/T128</f>
        <v>75</v>
      </c>
    </row>
    <row r="129" spans="2:26" x14ac:dyDescent="0.3">
      <c r="N129" s="1">
        <f>N128+75</f>
        <v>1258.3333333333335</v>
      </c>
    </row>
    <row r="130" spans="2:26" x14ac:dyDescent="0.3">
      <c r="B130" t="s">
        <v>421</v>
      </c>
    </row>
    <row r="131" spans="2:26" x14ac:dyDescent="0.3">
      <c r="B131" t="s">
        <v>422</v>
      </c>
    </row>
    <row r="132" spans="2:26" x14ac:dyDescent="0.3">
      <c r="B132" t="s">
        <v>423</v>
      </c>
    </row>
    <row r="133" spans="2:26" ht="15" thickBot="1" x14ac:dyDescent="0.35"/>
    <row r="134" spans="2:26" x14ac:dyDescent="0.3">
      <c r="B134" s="31" t="s">
        <v>271</v>
      </c>
      <c r="C134" s="31" t="s">
        <v>424</v>
      </c>
      <c r="D134" s="31" t="s">
        <v>425</v>
      </c>
      <c r="E134" s="31" t="s">
        <v>426</v>
      </c>
      <c r="F134" s="31" t="s">
        <v>98</v>
      </c>
      <c r="G134" s="31" t="s">
        <v>99</v>
      </c>
      <c r="H134" s="31" t="s">
        <v>100</v>
      </c>
      <c r="I134" s="31" t="s">
        <v>273</v>
      </c>
      <c r="Q134" s="31" t="s">
        <v>271</v>
      </c>
      <c r="R134" s="31" t="s">
        <v>424</v>
      </c>
      <c r="S134" s="31" t="s">
        <v>425</v>
      </c>
      <c r="T134" s="31" t="s">
        <v>426</v>
      </c>
      <c r="U134" s="31" t="s">
        <v>98</v>
      </c>
      <c r="V134" s="31" t="s">
        <v>99</v>
      </c>
      <c r="W134" s="31" t="s">
        <v>100</v>
      </c>
      <c r="X134" s="121" t="s">
        <v>273</v>
      </c>
      <c r="Y134" s="73" t="s">
        <v>82</v>
      </c>
      <c r="Z134" s="1" t="s">
        <v>273</v>
      </c>
    </row>
    <row r="135" spans="2:26" ht="15.6" x14ac:dyDescent="0.3">
      <c r="B135" s="31">
        <v>350</v>
      </c>
      <c r="C135" s="31"/>
      <c r="D135" s="31"/>
      <c r="E135" s="31"/>
      <c r="F135" s="31"/>
      <c r="G135" s="31"/>
      <c r="H135" s="31"/>
      <c r="I135" s="31"/>
      <c r="N135" s="122" t="s">
        <v>427</v>
      </c>
      <c r="Q135" s="31">
        <v>350</v>
      </c>
      <c r="R135" s="31">
        <f>0.25*Q135</f>
        <v>87.5</v>
      </c>
      <c r="S135" s="31">
        <v>40</v>
      </c>
      <c r="T135" s="31">
        <f>Q135-R135+S135</f>
        <v>302.5</v>
      </c>
      <c r="U135" s="31">
        <f>0.8*T135</f>
        <v>242</v>
      </c>
      <c r="V135" s="31">
        <v>78</v>
      </c>
      <c r="W135" s="31">
        <v>70</v>
      </c>
      <c r="X135" s="121">
        <f>SUM(U135:W135)</f>
        <v>390</v>
      </c>
      <c r="Y135" s="74">
        <f>T135-U135</f>
        <v>60.5</v>
      </c>
      <c r="Z135" s="1">
        <f>0.8*(Q135*(1-0.25)+S135)+V135+W135</f>
        <v>390</v>
      </c>
    </row>
    <row r="136" spans="2:26" ht="15.6" x14ac:dyDescent="0.3">
      <c r="B136" s="31">
        <v>450</v>
      </c>
      <c r="C136" s="31"/>
      <c r="D136" s="31"/>
      <c r="E136" s="31"/>
      <c r="F136" s="31"/>
      <c r="G136" s="31"/>
      <c r="H136" s="31"/>
      <c r="I136" s="31"/>
      <c r="N136" s="122"/>
      <c r="Q136" s="31">
        <v>450</v>
      </c>
      <c r="R136" s="31">
        <f>0.25*Q136</f>
        <v>112.5</v>
      </c>
      <c r="S136" s="31">
        <v>40</v>
      </c>
      <c r="T136" s="31">
        <f>Q136-R136+S136</f>
        <v>377.5</v>
      </c>
      <c r="U136" s="31">
        <f>0.8*T136</f>
        <v>302</v>
      </c>
      <c r="V136" s="31">
        <v>78</v>
      </c>
      <c r="W136" s="31">
        <v>70</v>
      </c>
      <c r="X136" s="121">
        <f>SUM(U136:W136)</f>
        <v>450</v>
      </c>
      <c r="Y136" s="74">
        <f>T136-U136</f>
        <v>75.5</v>
      </c>
      <c r="Z136" s="1">
        <f>0.8*(Q136*(1-0.25)+S136)+V136+W136</f>
        <v>450</v>
      </c>
    </row>
    <row r="137" spans="2:26" ht="15.6" x14ac:dyDescent="0.3">
      <c r="B137" s="31">
        <v>550</v>
      </c>
      <c r="C137" s="31"/>
      <c r="D137" s="31"/>
      <c r="E137" s="31"/>
      <c r="F137" s="31"/>
      <c r="G137" s="31"/>
      <c r="H137" s="31"/>
      <c r="I137" s="31"/>
      <c r="N137" s="122" t="s">
        <v>428</v>
      </c>
      <c r="Q137" s="31">
        <v>550</v>
      </c>
      <c r="R137" s="31">
        <f>0.25*Q137</f>
        <v>137.5</v>
      </c>
      <c r="S137" s="31">
        <v>40</v>
      </c>
      <c r="T137" s="31">
        <f>Q137-R137+S137</f>
        <v>452.5</v>
      </c>
      <c r="U137" s="31">
        <f>0.8*T137</f>
        <v>362</v>
      </c>
      <c r="V137" s="31">
        <v>78</v>
      </c>
      <c r="W137" s="31">
        <v>70</v>
      </c>
      <c r="X137" s="121">
        <f>SUM(U137:W137)</f>
        <v>510</v>
      </c>
      <c r="Y137" s="74">
        <f>T137-U137</f>
        <v>90.5</v>
      </c>
      <c r="Z137" s="1">
        <f>0.8*(Q137*(1-0.25)+S137)+V137+W137</f>
        <v>510</v>
      </c>
    </row>
    <row r="138" spans="2:26" ht="16.2" thickBot="1" x14ac:dyDescent="0.35">
      <c r="B138" s="31">
        <v>650</v>
      </c>
      <c r="C138" s="31"/>
      <c r="D138" s="31"/>
      <c r="E138" s="31"/>
      <c r="F138" s="31"/>
      <c r="G138" s="31"/>
      <c r="H138" s="31"/>
      <c r="I138" s="31"/>
      <c r="N138" s="122" t="s">
        <v>429</v>
      </c>
      <c r="Q138" s="31">
        <v>650</v>
      </c>
      <c r="R138" s="31">
        <f>0.25*Q138</f>
        <v>162.5</v>
      </c>
      <c r="S138" s="31">
        <v>40</v>
      </c>
      <c r="T138" s="31">
        <f>Q138-R138+S138</f>
        <v>527.5</v>
      </c>
      <c r="U138" s="31">
        <f>0.8*T138</f>
        <v>422</v>
      </c>
      <c r="V138" s="31">
        <v>78</v>
      </c>
      <c r="W138" s="31">
        <v>70</v>
      </c>
      <c r="X138" s="121">
        <f>SUM(U138:W138)</f>
        <v>570</v>
      </c>
      <c r="Y138" s="75">
        <f>T138-U138</f>
        <v>105.5</v>
      </c>
      <c r="Z138" s="1">
        <f>0.8*(Q138*(1-0.25)+S138)+V138+W138</f>
        <v>570</v>
      </c>
    </row>
    <row r="139" spans="2:26" ht="15.6" x14ac:dyDescent="0.3">
      <c r="N139" s="122"/>
    </row>
    <row r="140" spans="2:26" ht="15.6" x14ac:dyDescent="0.3">
      <c r="N140" s="122" t="s">
        <v>333</v>
      </c>
    </row>
    <row r="141" spans="2:26" ht="15" thickBot="1" x14ac:dyDescent="0.35"/>
    <row r="142" spans="2:26" ht="21.6" thickBot="1" x14ac:dyDescent="0.45">
      <c r="N142" s="123" t="s">
        <v>430</v>
      </c>
      <c r="O142" s="124"/>
      <c r="P142" s="124"/>
      <c r="Q142" s="124"/>
      <c r="R142" s="125"/>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CSU HDP a zložky</vt:lpstr>
      <vt:lpstr> cv1 HDP</vt:lpstr>
      <vt:lpstr>cv2 výd model</vt:lpstr>
    </vt:vector>
  </TitlesOfParts>
  <Company>VŠB TUO Ekonomická fakulta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Drastichová Magdaléna</dc:creator>
  <cp:lastModifiedBy>Drastichová Magdaléna</cp:lastModifiedBy>
  <dcterms:created xsi:type="dcterms:W3CDTF">2024-02-28T11:45:01Z</dcterms:created>
  <dcterms:modified xsi:type="dcterms:W3CDTF">2024-02-28T12:22:33Z</dcterms:modified>
</cp:coreProperties>
</file>