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MVŠO\AMAN1_ASMA\"/>
    </mc:Choice>
  </mc:AlternateContent>
  <bookViews>
    <workbookView xWindow="255" yWindow="255" windowWidth="39630" windowHeight="25350" firstSheet="1" activeTab="7"/>
  </bookViews>
  <sheets>
    <sheet name="Tesco" sheetId="25" r:id="rId1"/>
    <sheet name="E.Profil Data" sheetId="8" r:id="rId2"/>
    <sheet name="Korelace Graf" sheetId="26" r:id="rId3"/>
    <sheet name="E.Profil Graf" sheetId="12" r:id="rId4"/>
    <sheet name="Ceny El.nákup" sheetId="13" r:id="rId5"/>
    <sheet name="Diskont" sheetId="14" r:id="rId6"/>
    <sheet name="CF Data(on)" sheetId="1" r:id="rId7"/>
    <sheet name="CF Graf(on)" sheetId="4" r:id="rId8"/>
    <sheet name="BEP(on)" sheetId="5" r:id="rId9"/>
    <sheet name="BEP Graf" sheetId="6" r:id="rId10"/>
  </sheets>
  <definedNames>
    <definedName name="dayData" localSheetId="1">'E.Profil Data'!$A$2:$F$369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3" i="13" l="1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22" i="13"/>
  <c r="N46" i="25"/>
  <c r="N47" i="25"/>
  <c r="N48" i="25"/>
  <c r="N49" i="25"/>
  <c r="N50" i="25"/>
  <c r="N45" i="25"/>
  <c r="R18" i="8" l="1"/>
  <c r="J18" i="8"/>
  <c r="Z18" i="8"/>
  <c r="AF4" i="8" l="1"/>
  <c r="AF15" i="8"/>
  <c r="AF14" i="8"/>
  <c r="AF13" i="8"/>
  <c r="AF12" i="8"/>
  <c r="AF11" i="8"/>
  <c r="AF10" i="8"/>
  <c r="AF9" i="8"/>
  <c r="AF8" i="8"/>
  <c r="AF7" i="8"/>
  <c r="AF6" i="8"/>
  <c r="AF5" i="8"/>
  <c r="AE3" i="8"/>
  <c r="AD3" i="8"/>
  <c r="AD16" i="8" s="1"/>
  <c r="AC3" i="8"/>
  <c r="AB3" i="8"/>
  <c r="AB16" i="8" s="1"/>
  <c r="AA3" i="8"/>
  <c r="Z3" i="8"/>
  <c r="Z16" i="8" s="1"/>
  <c r="X15" i="8"/>
  <c r="X14" i="8"/>
  <c r="X13" i="8"/>
  <c r="X12" i="8"/>
  <c r="X11" i="8"/>
  <c r="X10" i="8"/>
  <c r="X9" i="8"/>
  <c r="X8" i="8"/>
  <c r="X7" i="8"/>
  <c r="X6" i="8"/>
  <c r="X5" i="8"/>
  <c r="X4" i="8"/>
  <c r="W3" i="8"/>
  <c r="V3" i="8"/>
  <c r="V16" i="8" s="1"/>
  <c r="U3" i="8"/>
  <c r="T3" i="8"/>
  <c r="T16" i="8" s="1"/>
  <c r="S3" i="8"/>
  <c r="R3" i="8"/>
  <c r="R16" i="8" s="1"/>
  <c r="AE16" i="8" l="1"/>
  <c r="W16" i="8"/>
  <c r="AC16" i="8"/>
  <c r="AF3" i="8"/>
  <c r="X3" i="8"/>
  <c r="S16" i="8"/>
  <c r="AA16" i="8"/>
  <c r="U16" i="8"/>
  <c r="P4" i="8"/>
  <c r="P15" i="8"/>
  <c r="P14" i="8"/>
  <c r="P13" i="8"/>
  <c r="P12" i="8"/>
  <c r="P11" i="8"/>
  <c r="P10" i="8"/>
  <c r="P9" i="8"/>
  <c r="P8" i="8"/>
  <c r="P7" i="8"/>
  <c r="P6" i="8"/>
  <c r="P5" i="8"/>
  <c r="O3" i="8"/>
  <c r="N3" i="8"/>
  <c r="N16" i="8" s="1"/>
  <c r="M3" i="8"/>
  <c r="L3" i="8"/>
  <c r="L16" i="8" s="1"/>
  <c r="K3" i="8"/>
  <c r="J3" i="8"/>
  <c r="J16" i="8" s="1"/>
  <c r="O16" i="8" l="1"/>
  <c r="P3" i="8"/>
  <c r="K16" i="8"/>
  <c r="M16" i="8"/>
  <c r="H5" i="8" l="1"/>
  <c r="H6" i="8"/>
  <c r="H7" i="8"/>
  <c r="H8" i="8"/>
  <c r="H9" i="8"/>
  <c r="H10" i="8"/>
  <c r="H11" i="8"/>
  <c r="H12" i="8"/>
  <c r="H13" i="8"/>
  <c r="H14" i="8"/>
  <c r="H15" i="8"/>
  <c r="H4" i="8"/>
  <c r="G3" i="8"/>
  <c r="C3" i="8"/>
  <c r="D3" i="8"/>
  <c r="E3" i="8"/>
  <c r="F3" i="8"/>
  <c r="B3" i="8"/>
  <c r="E28" i="1" l="1"/>
  <c r="H3" i="8"/>
  <c r="B16" i="8"/>
  <c r="C16" i="8" s="1"/>
  <c r="B28" i="1"/>
  <c r="F16" i="8"/>
  <c r="G16" i="8" s="1"/>
  <c r="F28" i="1"/>
  <c r="D16" i="8"/>
  <c r="E16" i="8" s="1"/>
  <c r="D28" i="1"/>
  <c r="C28" i="1"/>
  <c r="P32" i="25"/>
  <c r="O32" i="25"/>
  <c r="N32" i="25"/>
  <c r="M32" i="25"/>
  <c r="L32" i="25"/>
  <c r="K32" i="25"/>
  <c r="J32" i="25"/>
  <c r="I32" i="25"/>
  <c r="H32" i="25"/>
  <c r="F32" i="25"/>
  <c r="E32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O45" i="25" l="1"/>
  <c r="N16" i="13" s="1"/>
  <c r="S32" i="25"/>
  <c r="O48" i="25"/>
  <c r="N19" i="13" s="1"/>
  <c r="Q14" i="25"/>
  <c r="S14" i="25" s="1"/>
  <c r="O47" i="25"/>
  <c r="N18" i="13" s="1"/>
  <c r="Q26" i="25"/>
  <c r="S26" i="25" s="1"/>
  <c r="Q6" i="25"/>
  <c r="S6" i="25" s="1"/>
  <c r="Q20" i="25"/>
  <c r="S20" i="25" s="1"/>
  <c r="L28" i="1"/>
  <c r="K28" i="1"/>
  <c r="J28" i="1"/>
  <c r="V28" i="1"/>
  <c r="Y28" i="1"/>
  <c r="G28" i="1"/>
  <c r="AD28" i="1"/>
  <c r="U28" i="1"/>
  <c r="Q28" i="1"/>
  <c r="X28" i="1"/>
  <c r="N28" i="1"/>
  <c r="AB28" i="1"/>
  <c r="T28" i="1"/>
  <c r="I28" i="1"/>
  <c r="P28" i="1"/>
  <c r="AC28" i="1"/>
  <c r="H28" i="1"/>
  <c r="M28" i="1"/>
  <c r="O28" i="1"/>
  <c r="AA28" i="1"/>
  <c r="W28" i="1"/>
  <c r="S28" i="1"/>
  <c r="AE28" i="1"/>
  <c r="Z28" i="1"/>
  <c r="R28" i="1"/>
  <c r="Q32" i="25"/>
  <c r="O50" i="25" s="1"/>
  <c r="N21" i="13" s="1"/>
  <c r="S35" i="25" l="1"/>
  <c r="O46" i="25"/>
  <c r="N17" i="13" s="1"/>
  <c r="O49" i="25"/>
  <c r="N20" i="13" s="1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20" i="13"/>
  <c r="W42" i="1" l="1"/>
  <c r="V42" i="1"/>
  <c r="U42" i="1"/>
  <c r="T42" i="1"/>
  <c r="S42" i="1"/>
  <c r="R42" i="1"/>
  <c r="Q42" i="1"/>
  <c r="Q47" i="1"/>
  <c r="P43" i="1"/>
  <c r="B3" i="14"/>
  <c r="C13" i="1" l="1"/>
  <c r="D13" i="1" s="1"/>
  <c r="E13" i="1" s="1"/>
  <c r="F13" i="1" s="1"/>
  <c r="G13" i="1" s="1"/>
  <c r="H13" i="1" s="1"/>
  <c r="I13" i="1" s="1"/>
  <c r="J13" i="1" s="1"/>
  <c r="K13" i="1" s="1"/>
  <c r="L13" i="1" l="1"/>
  <c r="M13" i="1" s="1"/>
  <c r="N13" i="1" s="1"/>
  <c r="O13" i="1" s="1"/>
  <c r="P13" i="1" s="1"/>
  <c r="Q13" i="1" l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J3" i="8"/>
  <c r="AL3" i="8" s="1"/>
  <c r="F7" i="13" l="1"/>
  <c r="M7" i="13" s="1"/>
  <c r="F8" i="13"/>
  <c r="M8" i="13" s="1"/>
  <c r="F9" i="13"/>
  <c r="M9" i="13" s="1"/>
  <c r="F10" i="13"/>
  <c r="M10" i="13" s="1"/>
  <c r="F12" i="13"/>
  <c r="M12" i="13" s="1"/>
  <c r="F14" i="13"/>
  <c r="M14" i="13" s="1"/>
  <c r="F15" i="13"/>
  <c r="M15" i="13" s="1"/>
  <c r="F17" i="13"/>
  <c r="F18" i="13"/>
  <c r="G18" i="13" l="1"/>
  <c r="G17" i="13"/>
  <c r="G16" i="13"/>
  <c r="E16" i="13"/>
  <c r="D16" i="13"/>
  <c r="G15" i="13"/>
  <c r="G14" i="13"/>
  <c r="E13" i="13"/>
  <c r="D13" i="13"/>
  <c r="G12" i="13"/>
  <c r="G11" i="13"/>
  <c r="G10" i="13"/>
  <c r="G9" i="13"/>
  <c r="G8" i="13"/>
  <c r="G6" i="13"/>
  <c r="D6" i="13"/>
  <c r="F6" i="13" s="1"/>
  <c r="M6" i="13" s="1"/>
  <c r="G5" i="13"/>
  <c r="D5" i="13"/>
  <c r="F5" i="13" s="1"/>
  <c r="M5" i="13" s="1"/>
  <c r="G3" i="13"/>
  <c r="D3" i="13"/>
  <c r="F3" i="13" s="1"/>
  <c r="M3" i="13" s="1"/>
  <c r="F13" i="13" l="1"/>
  <c r="M13" i="13" s="1"/>
  <c r="F16" i="13"/>
  <c r="M16" i="13" s="1"/>
  <c r="D11" i="5"/>
  <c r="D15" i="5"/>
  <c r="D17" i="5"/>
  <c r="D18" i="5"/>
  <c r="D19" i="5"/>
  <c r="D22" i="5"/>
  <c r="D25" i="5"/>
  <c r="D26" i="5"/>
  <c r="D30" i="5"/>
  <c r="D31" i="5"/>
  <c r="D33" i="5"/>
  <c r="D34" i="5"/>
  <c r="D35" i="5"/>
  <c r="D38" i="5"/>
  <c r="D37" i="5"/>
  <c r="D36" i="5"/>
  <c r="D32" i="5"/>
  <c r="D29" i="5"/>
  <c r="D28" i="5"/>
  <c r="D27" i="5"/>
  <c r="D24" i="5"/>
  <c r="D23" i="5"/>
  <c r="D21" i="5"/>
  <c r="D20" i="5"/>
  <c r="D16" i="5"/>
  <c r="D14" i="5"/>
  <c r="D13" i="5"/>
  <c r="D12" i="5"/>
  <c r="D10" i="5"/>
  <c r="D9" i="5"/>
  <c r="G13" i="5"/>
  <c r="G12" i="5"/>
  <c r="G11" i="5"/>
  <c r="G10" i="5"/>
  <c r="G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C30" i="1"/>
  <c r="D30" i="1"/>
  <c r="E30" i="1"/>
  <c r="E31" i="1" s="1"/>
  <c r="F30" i="1"/>
  <c r="F26" i="1" s="1"/>
  <c r="G30" i="1"/>
  <c r="G26" i="1" s="1"/>
  <c r="H30" i="1"/>
  <c r="H26" i="1" s="1"/>
  <c r="I30" i="1"/>
  <c r="I31" i="1" s="1"/>
  <c r="J30" i="1"/>
  <c r="J26" i="1" s="1"/>
  <c r="K30" i="1"/>
  <c r="K26" i="1" s="1"/>
  <c r="L30" i="1"/>
  <c r="L31" i="1" s="1"/>
  <c r="M30" i="1"/>
  <c r="M31" i="1" s="1"/>
  <c r="N30" i="1"/>
  <c r="N26" i="1" s="1"/>
  <c r="O30" i="1"/>
  <c r="O26" i="1" s="1"/>
  <c r="P30" i="1"/>
  <c r="P26" i="1" s="1"/>
  <c r="Q30" i="1"/>
  <c r="Q31" i="1" s="1"/>
  <c r="R30" i="1"/>
  <c r="R26" i="1" s="1"/>
  <c r="S30" i="1"/>
  <c r="S26" i="1" s="1"/>
  <c r="T30" i="1"/>
  <c r="T31" i="1" s="1"/>
  <c r="U30" i="1"/>
  <c r="U31" i="1" s="1"/>
  <c r="V30" i="1"/>
  <c r="V26" i="1" s="1"/>
  <c r="W30" i="1"/>
  <c r="W26" i="1" s="1"/>
  <c r="X30" i="1"/>
  <c r="X26" i="1" s="1"/>
  <c r="Y30" i="1"/>
  <c r="Y26" i="1" s="1"/>
  <c r="Z30" i="1"/>
  <c r="Z26" i="1" s="1"/>
  <c r="AA30" i="1"/>
  <c r="AA26" i="1" s="1"/>
  <c r="AB30" i="1"/>
  <c r="AB31" i="1" s="1"/>
  <c r="AC30" i="1"/>
  <c r="AC31" i="1" s="1"/>
  <c r="AD30" i="1"/>
  <c r="AD26" i="1" s="1"/>
  <c r="AE30" i="1"/>
  <c r="AE26" i="1" s="1"/>
  <c r="B30" i="1"/>
  <c r="G7" i="5" l="1"/>
  <c r="B26" i="1"/>
  <c r="B40" i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D31" i="1"/>
  <c r="C26" i="1"/>
  <c r="V31" i="1"/>
  <c r="F31" i="1"/>
  <c r="Y23" i="1"/>
  <c r="Y14" i="1" s="1"/>
  <c r="U23" i="1"/>
  <c r="U14" i="1" s="1"/>
  <c r="R23" i="1"/>
  <c r="R14" i="1" s="1"/>
  <c r="Q23" i="1"/>
  <c r="Q14" i="1" s="1"/>
  <c r="M23" i="1"/>
  <c r="M14" i="1" s="1"/>
  <c r="J23" i="1"/>
  <c r="J14" i="1" s="1"/>
  <c r="AC23" i="1"/>
  <c r="AC14" i="1" s="1"/>
  <c r="I23" i="1"/>
  <c r="I14" i="1" s="1"/>
  <c r="Z23" i="1"/>
  <c r="Z14" i="1" s="1"/>
  <c r="E23" i="1"/>
  <c r="E14" i="1" s="1"/>
  <c r="AA31" i="1"/>
  <c r="AA23" i="1"/>
  <c r="AA14" i="1" s="1"/>
  <c r="S23" i="1"/>
  <c r="S14" i="1" s="1"/>
  <c r="K23" i="1"/>
  <c r="K14" i="1" s="1"/>
  <c r="C23" i="1"/>
  <c r="C14" i="1" s="1"/>
  <c r="S31" i="1"/>
  <c r="N31" i="1"/>
  <c r="B23" i="1"/>
  <c r="X23" i="1"/>
  <c r="X14" i="1" s="1"/>
  <c r="P23" i="1"/>
  <c r="P14" i="1" s="1"/>
  <c r="H23" i="1"/>
  <c r="H14" i="1" s="1"/>
  <c r="K31" i="1"/>
  <c r="AE23" i="1"/>
  <c r="AE14" i="1" s="1"/>
  <c r="W23" i="1"/>
  <c r="W14" i="1" s="1"/>
  <c r="O23" i="1"/>
  <c r="O14" i="1" s="1"/>
  <c r="G23" i="1"/>
  <c r="G14" i="1" s="1"/>
  <c r="AD23" i="1"/>
  <c r="AD14" i="1" s="1"/>
  <c r="V23" i="1"/>
  <c r="V14" i="1" s="1"/>
  <c r="N23" i="1"/>
  <c r="N14" i="1" s="1"/>
  <c r="F23" i="1"/>
  <c r="F14" i="1" s="1"/>
  <c r="C31" i="1"/>
  <c r="AD31" i="1"/>
  <c r="AB23" i="1"/>
  <c r="AB14" i="1" s="1"/>
  <c r="T23" i="1"/>
  <c r="T14" i="1" s="1"/>
  <c r="L23" i="1"/>
  <c r="L14" i="1" s="1"/>
  <c r="D23" i="1"/>
  <c r="D14" i="1" s="1"/>
  <c r="AE31" i="1"/>
  <c r="O31" i="1"/>
  <c r="Z31" i="1"/>
  <c r="J31" i="1"/>
  <c r="W31" i="1"/>
  <c r="G31" i="1"/>
  <c r="R31" i="1"/>
  <c r="Y31" i="1"/>
  <c r="B31" i="1"/>
  <c r="X31" i="1"/>
  <c r="P31" i="1"/>
  <c r="H31" i="1"/>
  <c r="AC26" i="1"/>
  <c r="U26" i="1"/>
  <c r="M26" i="1"/>
  <c r="E26" i="1"/>
  <c r="AB26" i="1"/>
  <c r="T26" i="1"/>
  <c r="L26" i="1"/>
  <c r="D26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Q26" i="1"/>
  <c r="I26" i="1"/>
  <c r="D7" i="5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Z4" i="1" l="1"/>
  <c r="AB4" i="1"/>
  <c r="T4" i="1"/>
  <c r="B14" i="1"/>
  <c r="AG23" i="1"/>
  <c r="V4" i="1"/>
  <c r="Y4" i="1"/>
  <c r="X4" i="1"/>
  <c r="U4" i="1"/>
  <c r="W4" i="1"/>
  <c r="AE4" i="1"/>
  <c r="AA4" i="1"/>
  <c r="S4" i="1"/>
  <c r="AD4" i="1"/>
  <c r="R4" i="1"/>
  <c r="AC4" i="1"/>
  <c r="E9" i="5"/>
  <c r="H9" i="5"/>
  <c r="Q5" i="1" l="1"/>
  <c r="P5" i="1"/>
  <c r="O5" i="1"/>
  <c r="O4" i="1" s="1"/>
  <c r="N5" i="1"/>
  <c r="Q4" i="1" l="1"/>
  <c r="P4" i="1"/>
  <c r="N4" i="1"/>
  <c r="E10" i="5"/>
  <c r="H10" i="5"/>
  <c r="M5" i="1"/>
  <c r="L5" i="1"/>
  <c r="L4" i="1" s="1"/>
  <c r="K5" i="1"/>
  <c r="J5" i="1"/>
  <c r="C5" i="1"/>
  <c r="D5" i="1"/>
  <c r="E5" i="1"/>
  <c r="F5" i="1"/>
  <c r="G5" i="1"/>
  <c r="H5" i="1"/>
  <c r="I5" i="1"/>
  <c r="C25" i="1"/>
  <c r="D25" i="1"/>
  <c r="E25" i="1"/>
  <c r="F25" i="1"/>
  <c r="G25" i="1"/>
  <c r="H25" i="1"/>
  <c r="B25" i="1"/>
  <c r="G4" i="1" l="1"/>
  <c r="G34" i="1" s="1"/>
  <c r="G36" i="1" s="1"/>
  <c r="I25" i="1"/>
  <c r="M4" i="1"/>
  <c r="E4" i="1"/>
  <c r="E34" i="1" s="1"/>
  <c r="E36" i="1" s="1"/>
  <c r="D4" i="1"/>
  <c r="D34" i="1" s="1"/>
  <c r="D36" i="1" s="1"/>
  <c r="C4" i="1"/>
  <c r="C34" i="1" s="1"/>
  <c r="C36" i="1" s="1"/>
  <c r="K4" i="1"/>
  <c r="I4" i="1"/>
  <c r="H4" i="1"/>
  <c r="H34" i="1" s="1"/>
  <c r="H36" i="1" s="1"/>
  <c r="H11" i="5"/>
  <c r="E11" i="5"/>
  <c r="J4" i="1"/>
  <c r="B4" i="1"/>
  <c r="B34" i="1" s="1"/>
  <c r="Q43" i="1" s="1"/>
  <c r="F4" i="1"/>
  <c r="F34" i="1" s="1"/>
  <c r="F36" i="1" l="1"/>
  <c r="R45" i="1" s="1"/>
  <c r="R43" i="1"/>
  <c r="B35" i="1"/>
  <c r="B36" i="1"/>
  <c r="AG4" i="1"/>
  <c r="C7" i="5" s="1"/>
  <c r="I34" i="1"/>
  <c r="I36" i="1" s="1"/>
  <c r="J25" i="1"/>
  <c r="J34" i="1" s="1"/>
  <c r="J36" i="1" s="1"/>
  <c r="H12" i="5"/>
  <c r="E12" i="5"/>
  <c r="B37" i="1" l="1"/>
  <c r="Q46" i="1" s="1"/>
  <c r="Q45" i="1"/>
  <c r="C35" i="1"/>
  <c r="D35" i="1" s="1"/>
  <c r="E35" i="1" s="1"/>
  <c r="F35" i="1" s="1"/>
  <c r="Q44" i="1"/>
  <c r="J38" i="1"/>
  <c r="C17" i="5"/>
  <c r="C25" i="5"/>
  <c r="C33" i="5"/>
  <c r="C10" i="5"/>
  <c r="F10" i="5" s="1"/>
  <c r="I10" i="5" s="1"/>
  <c r="C18" i="5"/>
  <c r="C26" i="5"/>
  <c r="C34" i="5"/>
  <c r="C11" i="5"/>
  <c r="F11" i="5" s="1"/>
  <c r="I11" i="5" s="1"/>
  <c r="C19" i="5"/>
  <c r="C27" i="5"/>
  <c r="C35" i="5"/>
  <c r="C12" i="5"/>
  <c r="F12" i="5" s="1"/>
  <c r="I12" i="5" s="1"/>
  <c r="C20" i="5"/>
  <c r="C28" i="5"/>
  <c r="C36" i="5"/>
  <c r="C13" i="5"/>
  <c r="C21" i="5"/>
  <c r="C29" i="5"/>
  <c r="C37" i="5"/>
  <c r="C14" i="5"/>
  <c r="C22" i="5"/>
  <c r="C30" i="5"/>
  <c r="C38" i="5"/>
  <c r="C15" i="5"/>
  <c r="C23" i="5"/>
  <c r="C31" i="5"/>
  <c r="C9" i="5"/>
  <c r="F9" i="5" s="1"/>
  <c r="I9" i="5" s="1"/>
  <c r="C16" i="5"/>
  <c r="C24" i="5"/>
  <c r="C32" i="5"/>
  <c r="E3" i="5"/>
  <c r="H3" i="5" s="1"/>
  <c r="K25" i="1"/>
  <c r="K34" i="1" s="1"/>
  <c r="H13" i="5"/>
  <c r="E13" i="5"/>
  <c r="K36" i="1" l="1"/>
  <c r="S45" i="1" s="1"/>
  <c r="S43" i="1"/>
  <c r="G35" i="1"/>
  <c r="H35" i="1" s="1"/>
  <c r="I35" i="1" s="1"/>
  <c r="J35" i="1" s="1"/>
  <c r="K35" i="1" s="1"/>
  <c r="S44" i="1" s="1"/>
  <c r="R44" i="1"/>
  <c r="C38" i="1"/>
  <c r="I38" i="1"/>
  <c r="E38" i="1"/>
  <c r="H38" i="1"/>
  <c r="G38" i="1"/>
  <c r="F38" i="1"/>
  <c r="R47" i="1" s="1"/>
  <c r="D38" i="1"/>
  <c r="C37" i="1"/>
  <c r="D37" i="1" s="1"/>
  <c r="E37" i="1" s="1"/>
  <c r="F37" i="1" s="1"/>
  <c r="F13" i="5"/>
  <c r="I13" i="5" s="1"/>
  <c r="L25" i="1"/>
  <c r="L34" i="1" s="1"/>
  <c r="L36" i="1" s="1"/>
  <c r="H14" i="5"/>
  <c r="E14" i="5"/>
  <c r="F14" i="5" s="1"/>
  <c r="L38" i="1" l="1"/>
  <c r="K38" i="1"/>
  <c r="S47" i="1" s="1"/>
  <c r="G37" i="1"/>
  <c r="H37" i="1" s="1"/>
  <c r="I37" i="1" s="1"/>
  <c r="J37" i="1" s="1"/>
  <c r="K37" i="1" s="1"/>
  <c r="S46" i="1" s="1"/>
  <c r="R46" i="1"/>
  <c r="L35" i="1"/>
  <c r="M25" i="1"/>
  <c r="M34" i="1" s="1"/>
  <c r="M36" i="1" s="1"/>
  <c r="I14" i="5"/>
  <c r="E15" i="5"/>
  <c r="F15" i="5" s="1"/>
  <c r="H15" i="5"/>
  <c r="L37" i="1" l="1"/>
  <c r="M37" i="1" s="1"/>
  <c r="N25" i="1"/>
  <c r="N34" i="1" s="1"/>
  <c r="N36" i="1" s="1"/>
  <c r="M35" i="1"/>
  <c r="M38" i="1"/>
  <c r="E16" i="5"/>
  <c r="F16" i="5" s="1"/>
  <c r="H16" i="5"/>
  <c r="I15" i="5"/>
  <c r="N35" i="1" l="1"/>
  <c r="N37" i="1"/>
  <c r="O25" i="1"/>
  <c r="O34" i="1" s="1"/>
  <c r="O36" i="1" s="1"/>
  <c r="N38" i="1"/>
  <c r="E17" i="5"/>
  <c r="F17" i="5" s="1"/>
  <c r="H17" i="5"/>
  <c r="I16" i="5"/>
  <c r="P25" i="1" l="1"/>
  <c r="P34" i="1" s="1"/>
  <c r="O37" i="1"/>
  <c r="O38" i="1"/>
  <c r="O35" i="1"/>
  <c r="E18" i="5"/>
  <c r="F18" i="5" s="1"/>
  <c r="H18" i="5"/>
  <c r="I17" i="5"/>
  <c r="P36" i="1" l="1"/>
  <c r="P37" i="1" s="1"/>
  <c r="T46" i="1" s="1"/>
  <c r="T43" i="1"/>
  <c r="P35" i="1"/>
  <c r="T44" i="1" s="1"/>
  <c r="R25" i="1"/>
  <c r="R34" i="1" s="1"/>
  <c r="R36" i="1" s="1"/>
  <c r="Q25" i="1"/>
  <c r="Q34" i="1" s="1"/>
  <c r="Q36" i="1" s="1"/>
  <c r="E19" i="5"/>
  <c r="F19" i="5" s="1"/>
  <c r="H19" i="5"/>
  <c r="I18" i="5"/>
  <c r="P38" i="1" l="1"/>
  <c r="T47" i="1" s="1"/>
  <c r="T45" i="1"/>
  <c r="S25" i="1"/>
  <c r="S34" i="1" s="1"/>
  <c r="S36" i="1" s="1"/>
  <c r="Q37" i="1"/>
  <c r="R37" i="1" s="1"/>
  <c r="R38" i="1"/>
  <c r="Q38" i="1"/>
  <c r="Q35" i="1"/>
  <c r="R35" i="1" s="1"/>
  <c r="E20" i="5"/>
  <c r="F20" i="5" s="1"/>
  <c r="H20" i="5"/>
  <c r="I19" i="5"/>
  <c r="S38" i="1" l="1"/>
  <c r="S37" i="1"/>
  <c r="S35" i="1"/>
  <c r="T25" i="1"/>
  <c r="T34" i="1" s="1"/>
  <c r="T36" i="1" s="1"/>
  <c r="E21" i="5"/>
  <c r="F21" i="5" s="1"/>
  <c r="H21" i="5"/>
  <c r="I20" i="5"/>
  <c r="U25" i="1" l="1"/>
  <c r="U34" i="1" s="1"/>
  <c r="T38" i="1"/>
  <c r="T35" i="1"/>
  <c r="T37" i="1"/>
  <c r="E22" i="5"/>
  <c r="F22" i="5" s="1"/>
  <c r="H22" i="5"/>
  <c r="I21" i="5"/>
  <c r="U36" i="1" l="1"/>
  <c r="U45" i="1" s="1"/>
  <c r="U43" i="1"/>
  <c r="U35" i="1"/>
  <c r="U44" i="1" s="1"/>
  <c r="V25" i="1"/>
  <c r="V34" i="1" s="1"/>
  <c r="V36" i="1" s="1"/>
  <c r="E23" i="5"/>
  <c r="F23" i="5" s="1"/>
  <c r="H23" i="5"/>
  <c r="I22" i="5"/>
  <c r="U38" i="1" l="1"/>
  <c r="U47" i="1" s="1"/>
  <c r="U37" i="1"/>
  <c r="U46" i="1" s="1"/>
  <c r="V35" i="1"/>
  <c r="W25" i="1"/>
  <c r="W34" i="1" s="1"/>
  <c r="W36" i="1" s="1"/>
  <c r="V38" i="1"/>
  <c r="E24" i="5"/>
  <c r="F24" i="5" s="1"/>
  <c r="H24" i="5"/>
  <c r="I23" i="5"/>
  <c r="V37" i="1" l="1"/>
  <c r="W37" i="1" s="1"/>
  <c r="X25" i="1"/>
  <c r="X34" i="1" s="1"/>
  <c r="X36" i="1" s="1"/>
  <c r="W38" i="1"/>
  <c r="W35" i="1"/>
  <c r="E25" i="5"/>
  <c r="F25" i="5" s="1"/>
  <c r="H25" i="5"/>
  <c r="I24" i="5"/>
  <c r="X35" i="1" l="1"/>
  <c r="X37" i="1"/>
  <c r="X38" i="1"/>
  <c r="Y25" i="1"/>
  <c r="Y34" i="1" s="1"/>
  <c r="Y36" i="1" s="1"/>
  <c r="E26" i="5"/>
  <c r="F26" i="5" s="1"/>
  <c r="H26" i="5"/>
  <c r="I25" i="5"/>
  <c r="Z25" i="1" l="1"/>
  <c r="Z34" i="1" s="1"/>
  <c r="Y38" i="1"/>
  <c r="Y37" i="1"/>
  <c r="Y35" i="1"/>
  <c r="E27" i="5"/>
  <c r="F27" i="5" s="1"/>
  <c r="H27" i="5"/>
  <c r="I26" i="5"/>
  <c r="Z36" i="1" l="1"/>
  <c r="Z37" i="1" s="1"/>
  <c r="V46" i="1" s="1"/>
  <c r="V43" i="1"/>
  <c r="Z35" i="1"/>
  <c r="V44" i="1" s="1"/>
  <c r="AA25" i="1"/>
  <c r="AA34" i="1" s="1"/>
  <c r="AA36" i="1" s="1"/>
  <c r="E28" i="5"/>
  <c r="F28" i="5" s="1"/>
  <c r="H28" i="5"/>
  <c r="I27" i="5"/>
  <c r="AA38" i="1" l="1"/>
  <c r="Z38" i="1"/>
  <c r="V47" i="1" s="1"/>
  <c r="V45" i="1"/>
  <c r="AA37" i="1"/>
  <c r="AA35" i="1"/>
  <c r="AB25" i="1"/>
  <c r="AB34" i="1" s="1"/>
  <c r="AB36" i="1" s="1"/>
  <c r="AB38" i="1" s="1"/>
  <c r="E29" i="5"/>
  <c r="F29" i="5" s="1"/>
  <c r="H29" i="5"/>
  <c r="I28" i="5"/>
  <c r="AB35" i="1" l="1"/>
  <c r="AB37" i="1"/>
  <c r="AC25" i="1"/>
  <c r="AC34" i="1" s="1"/>
  <c r="AC36" i="1" s="1"/>
  <c r="AC38" i="1" s="1"/>
  <c r="I29" i="5"/>
  <c r="H30" i="5"/>
  <c r="E30" i="5"/>
  <c r="F30" i="5" s="1"/>
  <c r="AD25" i="1" l="1"/>
  <c r="AD34" i="1" s="1"/>
  <c r="AD36" i="1" s="1"/>
  <c r="AD38" i="1" s="1"/>
  <c r="AC35" i="1"/>
  <c r="AC37" i="1"/>
  <c r="I30" i="5"/>
  <c r="H31" i="5"/>
  <c r="E31" i="5"/>
  <c r="F31" i="5" s="1"/>
  <c r="AD35" i="1" l="1"/>
  <c r="AD37" i="1"/>
  <c r="AE25" i="1"/>
  <c r="I31" i="5"/>
  <c r="H32" i="5"/>
  <c r="E32" i="5"/>
  <c r="F32" i="5" s="1"/>
  <c r="AE34" i="1" l="1"/>
  <c r="W43" i="1" s="1"/>
  <c r="AG25" i="1"/>
  <c r="I32" i="5"/>
  <c r="H33" i="5"/>
  <c r="E33" i="5"/>
  <c r="F33" i="5" s="1"/>
  <c r="AE36" i="1" l="1"/>
  <c r="AE37" i="1" s="1"/>
  <c r="W46" i="1" s="1"/>
  <c r="AE35" i="1"/>
  <c r="W44" i="1" s="1"/>
  <c r="I33" i="5"/>
  <c r="H34" i="5"/>
  <c r="E34" i="5"/>
  <c r="F34" i="5" s="1"/>
  <c r="AE38" i="1" l="1"/>
  <c r="W47" i="1" s="1"/>
  <c r="W45" i="1"/>
  <c r="H35" i="5"/>
  <c r="E35" i="5"/>
  <c r="F35" i="5" s="1"/>
  <c r="I34" i="5"/>
  <c r="I35" i="5" l="1"/>
  <c r="H36" i="5"/>
  <c r="E36" i="5"/>
  <c r="F36" i="5" s="1"/>
  <c r="I36" i="5" l="1"/>
  <c r="H37" i="5"/>
  <c r="H38" i="5"/>
  <c r="E37" i="5"/>
  <c r="F37" i="5" s="1"/>
  <c r="E38" i="5"/>
  <c r="F38" i="5" s="1"/>
  <c r="I38" i="5" l="1"/>
  <c r="I37" i="5"/>
</calcChain>
</file>

<file path=xl/comments1.xml><?xml version="1.0" encoding="utf-8"?>
<comments xmlns="http://schemas.openxmlformats.org/spreadsheetml/2006/main">
  <authors>
    <author>Adam Pawliczek</author>
  </authors>
  <commentList>
    <comment ref="A7" authorId="0" shapeId="0">
      <text>
        <r>
          <rPr>
            <sz val="9"/>
            <color indexed="81"/>
            <rFont val="Tahoma"/>
            <family val="2"/>
            <charset val="238"/>
          </rPr>
          <t>včetně řídící jednotky</t>
        </r>
      </text>
    </comment>
  </commentList>
</comments>
</file>

<file path=xl/connections.xml><?xml version="1.0" encoding="utf-8"?>
<connections xmlns="http://schemas.openxmlformats.org/spreadsheetml/2006/main">
  <connection id="1" name="dayData" type="6" refreshedVersion="4" background="1" saveData="1">
    <textPr sourceFile="C:\Users\Adam\Documents\2016\MVŠO\Projekty-Granty\TAČR\dayData.csv" thousands=" " comma="1" qualifier="singleQuot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<sst xmlns="http://schemas.openxmlformats.org/spreadsheetml/2006/main" count="249" uniqueCount="152">
  <si>
    <t>materiál</t>
  </si>
  <si>
    <t>ostatní</t>
  </si>
  <si>
    <t>HV</t>
  </si>
  <si>
    <t>V (T)</t>
  </si>
  <si>
    <t>CN</t>
  </si>
  <si>
    <t>FN</t>
  </si>
  <si>
    <t>VN</t>
  </si>
  <si>
    <t>Cash Flow</t>
  </si>
  <si>
    <t>Cash IN</t>
  </si>
  <si>
    <t>Cash out - provoz</t>
  </si>
  <si>
    <t>údržba</t>
  </si>
  <si>
    <t xml:space="preserve">daně a poplatky </t>
  </si>
  <si>
    <t>mzdy</t>
  </si>
  <si>
    <t>p (/kWh)</t>
  </si>
  <si>
    <t>vn (/kWh)</t>
  </si>
  <si>
    <t>Diskontní sazba</t>
  </si>
  <si>
    <t>Rok</t>
  </si>
  <si>
    <t>Diskontované Cash Flow</t>
  </si>
  <si>
    <t>Vnitřní výnosové procento (IRR)</t>
  </si>
  <si>
    <t>kWh</t>
  </si>
  <si>
    <t>Bod zvratu =</t>
  </si>
  <si>
    <t>MWh</t>
  </si>
  <si>
    <t>f</t>
  </si>
  <si>
    <t>FVE</t>
  </si>
  <si>
    <t>Měniče, regulátory, komunikace</t>
  </si>
  <si>
    <t>Akumulace</t>
  </si>
  <si>
    <t>Instalace</t>
  </si>
  <si>
    <t>technická korekce</t>
  </si>
  <si>
    <t>tržby (úspora) z výroby</t>
  </si>
  <si>
    <t>---</t>
  </si>
  <si>
    <t>Celkem</t>
  </si>
  <si>
    <t>přímé (variabilní náklady celkem)</t>
  </si>
  <si>
    <t>přímé (variabilní náklady jednotlkové)</t>
  </si>
  <si>
    <t>Celkem:</t>
  </si>
  <si>
    <t>od</t>
  </si>
  <si>
    <t>do</t>
  </si>
  <si>
    <t>CZK bez DPH</t>
  </si>
  <si>
    <t>CZK/kWh</t>
  </si>
  <si>
    <t>CZK s DPH</t>
  </si>
  <si>
    <t>SME</t>
  </si>
  <si>
    <t>ČEZ</t>
  </si>
  <si>
    <t>ČEZ/ RWE</t>
  </si>
  <si>
    <t>RWE</t>
  </si>
  <si>
    <t>Jistič:</t>
  </si>
  <si>
    <t>3x14 A</t>
  </si>
  <si>
    <t>Sazba:</t>
  </si>
  <si>
    <t>202D</t>
  </si>
  <si>
    <t>Prod.řada:</t>
  </si>
  <si>
    <t>RWE elektřina Relax+</t>
  </si>
  <si>
    <t>Produkt:</t>
  </si>
  <si>
    <t>Standard</t>
  </si>
  <si>
    <t>Platná od:</t>
  </si>
  <si>
    <t>%</t>
  </si>
  <si>
    <t>https://www.cnb.cz/cs/faq/jak_se_vyvijela_diskontni_sazba_cnb.html</t>
  </si>
  <si>
    <t>Zdroj:</t>
  </si>
  <si>
    <t>Průměr:</t>
  </si>
  <si>
    <t>Diskontní sazba ČNB - data a trendy</t>
  </si>
  <si>
    <t>Elektrocentrála</t>
  </si>
  <si>
    <t>energie (palivo)</t>
  </si>
  <si>
    <t>Ceny elektrické energie - empirická data a trendy</t>
  </si>
  <si>
    <t>Q (kWh)</t>
  </si>
  <si>
    <t>úspora z výroby FV roční empirická (kWh)</t>
  </si>
  <si>
    <t>nákupní cena (Kč/kWh)</t>
  </si>
  <si>
    <t>úspora roční korigovaná (kWh)</t>
  </si>
  <si>
    <t>Výpočet bodu zvratu off grid</t>
  </si>
  <si>
    <t>Duben</t>
  </si>
  <si>
    <t>Květen</t>
  </si>
  <si>
    <t>Červen</t>
  </si>
  <si>
    <t>Červenec</t>
  </si>
  <si>
    <t>Srpen</t>
  </si>
  <si>
    <t>Zaří</t>
  </si>
  <si>
    <t>Říjen</t>
  </si>
  <si>
    <t>Listopad</t>
  </si>
  <si>
    <t>Prosinec</t>
  </si>
  <si>
    <t>Leden</t>
  </si>
  <si>
    <t>Únor</t>
  </si>
  <si>
    <t>Březen</t>
  </si>
  <si>
    <t>Vyrobená elektrické energie (kWh) - skutečnost</t>
  </si>
  <si>
    <t>průměrná úspora denní (kWh)</t>
  </si>
  <si>
    <t>keficient poklesu pořizovací ceny</t>
  </si>
  <si>
    <t>Cash OUT - investice</t>
  </si>
  <si>
    <t>4 kWp</t>
  </si>
  <si>
    <t>ostatní - dotace</t>
  </si>
  <si>
    <t>Innogy</t>
  </si>
  <si>
    <t>http://www.cnb.cz/cs/faq/vyvoj_diskontni_historie.txt</t>
  </si>
  <si>
    <t>Cumul. CF</t>
  </si>
  <si>
    <t>Disc. CF</t>
  </si>
  <si>
    <t>NPV</t>
  </si>
  <si>
    <t>IRR</t>
  </si>
  <si>
    <t>Cumulative CF</t>
  </si>
  <si>
    <t>Discounted Cumulative CF (NPV)</t>
  </si>
  <si>
    <t>Cash OUT</t>
  </si>
  <si>
    <t>Year</t>
  </si>
  <si>
    <t>FVE - BEA Centrum Olomouc, Kosmonautů 1</t>
  </si>
  <si>
    <t>výroba elektřiny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</si>
  <si>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</si>
  <si>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</si>
  <si>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</si>
  <si>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</si>
  <si>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</si>
  <si>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</si>
  <si>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</si>
  <si>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</si>
  <si>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</si>
  <si>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</si>
  <si>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</si>
  <si>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</si>
  <si>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CELKEM</t>
  </si>
  <si>
    <t>CZK ušetřeno</t>
  </si>
  <si>
    <t>stav kW</t>
  </si>
  <si>
    <t>vyrobeno kW</t>
  </si>
  <si>
    <t>uvedeno do provozu 19.11.2013</t>
  </si>
  <si>
    <t xml:space="preserve">Pro zvolené období nesplňujete podmínky pro výplatu podpory dle zákona č. 165/2012, Sb., o podporovaných zdrojích energie, § 4 odst. 6, s platností od 1.7.2014. </t>
  </si>
  <si>
    <t>počáteční stav</t>
  </si>
  <si>
    <t>Ing. Miloslav Novotný z RCO.</t>
  </si>
  <si>
    <t>Pořizovací cena je 754 700 Kč, datum pořízení 1.1.2014, odpisová sazba 20 let</t>
  </si>
  <si>
    <t>Energetický profil připojeného systému - výroba elektrické energie - experimentální data FV systém 18 kWp</t>
  </si>
  <si>
    <t>Měsíční produkce/ Měsíc</t>
  </si>
  <si>
    <t>Average</t>
  </si>
  <si>
    <t>Výpočet peněžních toků - připojený systém (on grid) FV bez akumulace</t>
  </si>
  <si>
    <t>Kumulativní</t>
  </si>
  <si>
    <t>z průměrné hodnoty nákupní ceny el. energie</t>
  </si>
  <si>
    <t>Tarif TESCO SW</t>
  </si>
  <si>
    <t>Olomouc</t>
  </si>
  <si>
    <t>Pearson correlation index:</t>
  </si>
  <si>
    <t>Sunshine duration (h)</t>
  </si>
  <si>
    <t>Average air temperature (°C)</t>
  </si>
  <si>
    <t>Average monthly production (kWh)</t>
  </si>
  <si>
    <t>Year 2013</t>
  </si>
  <si>
    <t>Year 2014</t>
  </si>
  <si>
    <t>Year 2015</t>
  </si>
  <si>
    <t>Year 2016</t>
  </si>
  <si>
    <t>Year 2017</t>
  </si>
  <si>
    <t>Year 2018</t>
  </si>
  <si>
    <r>
      <t>Saved emission cumulative (ton CO</t>
    </r>
    <r>
      <rPr>
        <i/>
        <vertAlign val="sub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</si>
  <si>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t>Fixed costs</t>
  </si>
  <si>
    <t>Unity variable costs</t>
  </si>
  <si>
    <t>Total variable costs</t>
  </si>
  <si>
    <t>Total costs</t>
  </si>
  <si>
    <t>Price</t>
  </si>
  <si>
    <t>Revenues</t>
  </si>
  <si>
    <t>Profit</t>
  </si>
  <si>
    <t>Cumulative produced quantity</t>
  </si>
  <si>
    <t>Total precipitations (mm)</t>
  </si>
  <si>
    <t>Průměrná měsíční cena elektřiny kWh - BEA Centrum Olomouc</t>
  </si>
  <si>
    <t>rok</t>
  </si>
  <si>
    <t>měsíc</t>
  </si>
  <si>
    <t>Průměr</t>
  </si>
  <si>
    <t>Vážený průměr</t>
  </si>
  <si>
    <t>Tarif MVŠO</t>
  </si>
  <si>
    <t>koef.</t>
  </si>
  <si>
    <t>Domácí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</si>
</sst>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[$Kč-405]_-;\-* #,##0\ [$Kč-405]_-;_-* &quot;-&quot;??\ [$Kč-405]_-;_-@_-"/>
    <numFmt numFmtId="165" formatCode="#,##0.00\ &quot;Kč&quot;"/>
    <numFmt numFmtId="166" formatCode="#,##0\ &quot;Kč&quot;"/>
    <numFmt numFmtId="167" formatCode="_-* #,##0.0\ [$Kč-405]_-;\-* #,##0.0\ [$Kč-405]_-;_-* &quot;-&quot;??\ [$Kč-405]_-;_-@_-"/>
    <numFmt numFmtId="168" formatCode="_-* #,##0.00\ [$Kč-405]_-;\-* #,##0.00\ [$Kč-405]_-;_-* &quot;-&quot;??\ [$Kč-405]_-;_-@_-"/>
    <numFmt numFmtId="169" formatCode="_-* #,##0\ _K_č_-;\-* #,##0\ _K_č_-;_-* &quot;-&quot;??\ _K_č_-;_-@_-"/>
    <numFmt numFmtId="170" formatCode="_-* #,##0\ &quot;Kč&quot;_-;\-* #,##0\ &quot;Kč&quot;_-;_-* &quot;-&quot;??\ &quot;Kč&quot;_-;_-@_-"/>
    <numFmt numFmtId="171" formatCode="0.000"/>
    <numFmt numFmtId="172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Symbol"/>
      <family val="1"/>
      <charset val="2"/>
    </font>
    <font>
      <b/>
      <sz val="11"/>
      <color rgb="FFFFFF00"/>
      <name val="Calibri"/>
      <family val="2"/>
      <charset val="238"/>
      <scheme val="minor"/>
    </font>
    <font>
      <sz val="10"/>
      <name val="Arial CE"/>
      <charset val="238"/>
    </font>
    <font>
      <i/>
      <vertAlign val="subscript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6" borderId="0" applyNumberFormat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10" borderId="0" applyNumberFormat="0" applyBorder="0" applyAlignment="0" applyProtection="0"/>
  </cellStyleXfs>
  <cellXfs count="122">
    <xf numFmtId="0" fontId="0" fillId="0" borderId="0" xfId="0"/>
    <xf numFmtId="164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5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4" borderId="0" xfId="1" applyNumberFormat="1" applyFont="1" applyFill="1"/>
    <xf numFmtId="4" fontId="3" fillId="4" borderId="0" xfId="1" applyNumberFormat="1" applyFill="1"/>
    <xf numFmtId="3" fontId="3" fillId="4" borderId="0" xfId="1" applyNumberFormat="1" applyFill="1"/>
    <xf numFmtId="0" fontId="1" fillId="2" borderId="1" xfId="0" applyFont="1" applyFill="1" applyBorder="1" applyAlignment="1">
      <alignment horizontal="center"/>
    </xf>
    <xf numFmtId="10" fontId="1" fillId="5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3" fillId="4" borderId="0" xfId="1" applyNumberFormat="1" applyFont="1" applyFill="1"/>
    <xf numFmtId="165" fontId="3" fillId="4" borderId="0" xfId="1" applyNumberFormat="1" applyFill="1"/>
    <xf numFmtId="165" fontId="0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center"/>
    </xf>
    <xf numFmtId="166" fontId="5" fillId="4" borderId="0" xfId="1" applyNumberFormat="1" applyFont="1" applyFill="1"/>
    <xf numFmtId="166" fontId="5" fillId="4" borderId="0" xfId="1" applyNumberFormat="1" applyFont="1" applyFill="1" applyAlignment="1">
      <alignment horizontal="center"/>
    </xf>
    <xf numFmtId="166" fontId="4" fillId="4" borderId="0" xfId="1" applyNumberFormat="1" applyFont="1" applyFill="1"/>
    <xf numFmtId="166" fontId="0" fillId="0" borderId="0" xfId="0" applyNumberFormat="1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167" fontId="2" fillId="0" borderId="0" xfId="0" applyNumberFormat="1" applyFont="1"/>
    <xf numFmtId="168" fontId="2" fillId="0" borderId="0" xfId="0" applyNumberFormat="1" applyFont="1"/>
    <xf numFmtId="2" fontId="2" fillId="0" borderId="0" xfId="0" applyNumberFormat="1" applyFont="1"/>
    <xf numFmtId="10" fontId="1" fillId="5" borderId="0" xfId="2" quotePrefix="1" applyNumberFormat="1" applyFont="1" applyFill="1" applyAlignment="1">
      <alignment horizontal="center"/>
    </xf>
    <xf numFmtId="166" fontId="3" fillId="4" borderId="0" xfId="1" applyNumberFormat="1" applyFont="1" applyFill="1"/>
    <xf numFmtId="0" fontId="8" fillId="7" borderId="0" xfId="0" applyFont="1" applyFill="1"/>
    <xf numFmtId="3" fontId="0" fillId="0" borderId="0" xfId="3" applyNumberFormat="1" applyFont="1" applyAlignment="1">
      <alignment horizontal="right"/>
    </xf>
    <xf numFmtId="170" fontId="0" fillId="0" borderId="0" xfId="4" applyNumberFormat="1" applyFont="1" applyAlignment="1">
      <alignment horizontal="right"/>
    </xf>
    <xf numFmtId="0" fontId="0" fillId="0" borderId="0" xfId="0" applyAlignment="1"/>
    <xf numFmtId="14" fontId="0" fillId="0" borderId="0" xfId="0" applyNumberFormat="1"/>
    <xf numFmtId="44" fontId="0" fillId="0" borderId="0" xfId="0" applyNumberFormat="1"/>
    <xf numFmtId="170" fontId="0" fillId="0" borderId="0" xfId="0" applyNumberFormat="1"/>
    <xf numFmtId="14" fontId="0" fillId="0" borderId="0" xfId="0" applyNumberFormat="1" applyFont="1"/>
    <xf numFmtId="3" fontId="0" fillId="0" borderId="0" xfId="0" applyNumberFormat="1" applyFont="1"/>
    <xf numFmtId="170" fontId="9" fillId="0" borderId="0" xfId="4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9" fontId="0" fillId="0" borderId="0" xfId="3" applyNumberFormat="1" applyFont="1" applyAlignment="1">
      <alignment horizontal="center"/>
    </xf>
    <xf numFmtId="170" fontId="0" fillId="0" borderId="0" xfId="4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9" fontId="8" fillId="7" borderId="0" xfId="0" applyNumberFormat="1" applyFont="1" applyFill="1" applyAlignment="1">
      <alignment horizontal="center"/>
    </xf>
    <xf numFmtId="2" fontId="0" fillId="0" borderId="0" xfId="0" applyNumberFormat="1"/>
    <xf numFmtId="2" fontId="8" fillId="7" borderId="0" xfId="0" applyNumberFormat="1" applyFont="1" applyFill="1"/>
    <xf numFmtId="2" fontId="1" fillId="2" borderId="1" xfId="0" applyNumberFormat="1" applyFont="1" applyFill="1" applyBorder="1" applyAlignment="1">
      <alignment horizontal="center"/>
    </xf>
    <xf numFmtId="14" fontId="1" fillId="8" borderId="0" xfId="0" applyNumberFormat="1" applyFont="1" applyFill="1"/>
    <xf numFmtId="2" fontId="1" fillId="8" borderId="0" xfId="0" applyNumberFormat="1" applyFont="1" applyFill="1"/>
    <xf numFmtId="0" fontId="2" fillId="0" borderId="0" xfId="0" applyNumberFormat="1" applyFont="1" applyAlignment="1">
      <alignment horizontal="center"/>
    </xf>
    <xf numFmtId="3" fontId="2" fillId="0" borderId="0" xfId="3" applyNumberFormat="1" applyFont="1" applyAlignment="1">
      <alignment horizontal="right"/>
    </xf>
    <xf numFmtId="170" fontId="2" fillId="0" borderId="0" xfId="4" applyNumberFormat="1" applyFont="1" applyAlignment="1">
      <alignment horizontal="right"/>
    </xf>
    <xf numFmtId="169" fontId="2" fillId="0" borderId="0" xfId="3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170" fontId="2" fillId="0" borderId="0" xfId="4" applyNumberFormat="1" applyFont="1"/>
    <xf numFmtId="171" fontId="8" fillId="7" borderId="0" xfId="0" applyNumberFormat="1" applyFont="1" applyFill="1"/>
    <xf numFmtId="171" fontId="0" fillId="0" borderId="0" xfId="0" applyNumberFormat="1"/>
    <xf numFmtId="3" fontId="5" fillId="4" borderId="2" xfId="1" applyNumberFormat="1" applyFont="1" applyFill="1" applyBorder="1"/>
    <xf numFmtId="166" fontId="5" fillId="4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/>
    </xf>
    <xf numFmtId="171" fontId="0" fillId="0" borderId="0" xfId="2" applyNumberFormat="1" applyFont="1"/>
    <xf numFmtId="172" fontId="0" fillId="0" borderId="0" xfId="0" applyNumberFormat="1"/>
    <xf numFmtId="0" fontId="2" fillId="9" borderId="0" xfId="0" applyFont="1" applyFill="1"/>
    <xf numFmtId="43" fontId="2" fillId="9" borderId="0" xfId="3" applyFont="1" applyFill="1" applyAlignment="1">
      <alignment horizontal="right"/>
    </xf>
    <xf numFmtId="164" fontId="2" fillId="9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171" fontId="2" fillId="0" borderId="0" xfId="0" applyNumberFormat="1" applyFont="1"/>
    <xf numFmtId="2" fontId="0" fillId="0" borderId="0" xfId="0" applyNumberFormat="1" applyAlignment="1">
      <alignment horizontal="right"/>
    </xf>
    <xf numFmtId="44" fontId="2" fillId="10" borderId="0" xfId="5" applyNumberFormat="1" applyFont="1"/>
    <xf numFmtId="0" fontId="0" fillId="11" borderId="4" xfId="0" applyFill="1" applyBorder="1"/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10" fontId="0" fillId="0" borderId="10" xfId="2" applyNumberFormat="1" applyFont="1" applyBorder="1"/>
    <xf numFmtId="10" fontId="0" fillId="0" borderId="11" xfId="2" applyNumberFormat="1" applyFont="1" applyBorder="1"/>
    <xf numFmtId="0" fontId="0" fillId="0" borderId="0" xfId="0" applyAlignment="1">
      <alignment vertical="center"/>
    </xf>
    <xf numFmtId="10" fontId="0" fillId="0" borderId="10" xfId="2" quotePrefix="1" applyNumberFormat="1" applyFont="1" applyBorder="1"/>
    <xf numFmtId="169" fontId="0" fillId="0" borderId="0" xfId="3" applyNumberFormat="1" applyFont="1" applyBorder="1"/>
    <xf numFmtId="169" fontId="0" fillId="0" borderId="8" xfId="3" applyNumberFormat="1" applyFont="1" applyBorder="1"/>
    <xf numFmtId="0" fontId="0" fillId="12" borderId="13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2" fontId="0" fillId="0" borderId="12" xfId="0" applyNumberFormat="1" applyBorder="1"/>
    <xf numFmtId="0" fontId="1" fillId="0" borderId="12" xfId="0" applyFont="1" applyBorder="1"/>
    <xf numFmtId="2" fontId="12" fillId="0" borderId="12" xfId="0" applyNumberFormat="1" applyFont="1" applyBorder="1"/>
    <xf numFmtId="0" fontId="13" fillId="0" borderId="0" xfId="0" applyFont="1" applyAlignment="1">
      <alignment vertical="center"/>
    </xf>
    <xf numFmtId="1" fontId="0" fillId="0" borderId="12" xfId="0" applyNumberFormat="1" applyBorder="1"/>
    <xf numFmtId="2" fontId="1" fillId="0" borderId="0" xfId="0" applyNumberFormat="1" applyFont="1"/>
    <xf numFmtId="2" fontId="1" fillId="2" borderId="0" xfId="0" applyNumberFormat="1" applyFont="1" applyFill="1" applyBorder="1" applyAlignment="1">
      <alignment horizontal="center"/>
    </xf>
    <xf numFmtId="171" fontId="3" fillId="6" borderId="0" xfId="1" applyNumberFormat="1"/>
    <xf numFmtId="171" fontId="5" fillId="6" borderId="0" xfId="1" applyNumberFormat="1" applyFont="1"/>
    <xf numFmtId="0" fontId="0" fillId="0" borderId="12" xfId="0" applyBorder="1" applyAlignment="1">
      <alignment horizontal="center"/>
    </xf>
    <xf numFmtId="171" fontId="0" fillId="0" borderId="12" xfId="0" applyNumberFormat="1" applyBorder="1"/>
    <xf numFmtId="44" fontId="6" fillId="10" borderId="0" xfId="4" applyNumberFormat="1" applyFill="1"/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6">
    <cellStyle name="20 % – Zvýraznění3" xfId="5" builtinId="38"/>
    <cellStyle name="Čárka" xfId="3" builtinId="3"/>
    <cellStyle name="Měna" xfId="4" builtinId="4"/>
    <cellStyle name="Normální" xfId="0" builtinId="0"/>
    <cellStyle name="Procenta" xfId="2" builtinId="5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Monthly</a:t>
            </a:r>
            <a:r>
              <a:rPr lang="cs-CZ" baseline="0"/>
              <a:t> P</a:t>
            </a:r>
            <a:r>
              <a:rPr lang="cs-CZ"/>
              <a:t>roduction of E</a:t>
            </a:r>
            <a:r>
              <a:rPr lang="en-US"/>
              <a:t>le</a:t>
            </a:r>
            <a:r>
              <a:rPr lang="cs-CZ"/>
              <a:t>ctric</a:t>
            </a:r>
            <a:r>
              <a:rPr lang="en-US"/>
              <a:t> </a:t>
            </a:r>
            <a:r>
              <a:rPr lang="cs-CZ"/>
              <a:t>E</a:t>
            </a:r>
            <a:r>
              <a:rPr lang="en-US"/>
              <a:t>nerg</a:t>
            </a:r>
            <a:r>
              <a:rPr lang="cs-CZ"/>
              <a:t>y</a:t>
            </a:r>
            <a:r>
              <a:rPr lang="en-US"/>
              <a:t> (kWh)</a:t>
            </a:r>
            <a:r>
              <a:rPr lang="cs-CZ"/>
              <a:t> </a:t>
            </a:r>
          </a:p>
          <a:p>
            <a:pPr>
              <a:defRPr/>
            </a:pPr>
            <a:r>
              <a:rPr lang="cs-CZ"/>
              <a:t>Photovoltaic</a:t>
            </a:r>
            <a:r>
              <a:rPr lang="cs-CZ" baseline="0"/>
              <a:t> S</a:t>
            </a:r>
            <a:r>
              <a:rPr lang="cs-CZ"/>
              <a:t>ystem </a:t>
            </a:r>
            <a:r>
              <a:rPr lang="en-US"/>
              <a:t>1</a:t>
            </a:r>
            <a:r>
              <a:rPr lang="cs-CZ"/>
              <a:t>8</a:t>
            </a:r>
            <a:r>
              <a:rPr lang="en-US"/>
              <a:t> kWp</a:t>
            </a:r>
          </a:p>
        </c:rich>
      </c:tx>
      <c:layout>
        <c:manualLayout>
          <c:xMode val="edge"/>
          <c:yMode val="edge"/>
          <c:x val="7.4625250708581475E-2"/>
          <c:y val="3.380997079613602E-2"/>
        </c:manualLayout>
      </c:layout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2052889592336185E-2"/>
          <c:y val="2.5592090365377698E-2"/>
          <c:w val="0.92800184179984535"/>
          <c:h val="0.95304503616479963"/>
        </c:manualLayout>
      </c:layout>
      <c:scatterChart>
        <c:scatterStyle val="lineMarker"/>
        <c:varyColors val="0"/>
        <c:ser>
          <c:idx val="0"/>
          <c:order val="3"/>
          <c:tx>
            <c:strRef>
              <c:f>'E.Profil Data'!$H$2</c:f>
              <c:strCache>
                <c:ptCount val="1"/>
                <c:pt idx="0">
                  <c:v>Average monthly production (kWh)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</c:marker>
          <c:errBars>
            <c:errDir val="y"/>
            <c:errBarType val="both"/>
            <c:errValType val="stdErr"/>
            <c:noEndCap val="0"/>
            <c:spPr>
              <a:ln w="12700">
                <a:solidFill>
                  <a:schemeClr val="accent1"/>
                </a:solidFill>
              </a:ln>
            </c:spPr>
          </c:errBars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Data'!$H$4:$H$15</c:f>
              <c:numCache>
                <c:formatCode>0.00</c:formatCode>
                <c:ptCount val="12"/>
                <c:pt idx="0">
                  <c:v>290.34799999999962</c:v>
                </c:pt>
                <c:pt idx="1">
                  <c:v>811.37599999999952</c:v>
                </c:pt>
                <c:pt idx="2">
                  <c:v>1899.0550000000012</c:v>
                </c:pt>
                <c:pt idx="3">
                  <c:v>2535.3874999999994</c:v>
                </c:pt>
                <c:pt idx="4">
                  <c:v>2560.1575000000021</c:v>
                </c:pt>
                <c:pt idx="5">
                  <c:v>2625.5324999999975</c:v>
                </c:pt>
                <c:pt idx="6">
                  <c:v>2870.0274999999988</c:v>
                </c:pt>
                <c:pt idx="7">
                  <c:v>2479.81</c:v>
                </c:pt>
                <c:pt idx="8">
                  <c:v>2018.1375000000025</c:v>
                </c:pt>
                <c:pt idx="9">
                  <c:v>824.74249999999756</c:v>
                </c:pt>
                <c:pt idx="10">
                  <c:v>380.24600000000089</c:v>
                </c:pt>
                <c:pt idx="11">
                  <c:v>221.95000000000067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8F-41B3-AE40-7444D8655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171536"/>
        <c:axId val="261210736"/>
      </c:scatterChart>
      <c:scatterChart>
        <c:scatterStyle val="lineMarker"/>
        <c:varyColors val="0"/>
        <c:ser>
          <c:idx val="2"/>
          <c:order val="0"/>
          <c:tx>
            <c:strRef>
              <c:f>'E.Profil Data'!$J$1</c:f>
              <c:strCache>
                <c:ptCount val="1"/>
                <c:pt idx="0">
                  <c:v>Sunshine duration (h)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Data'!$P$4:$P$15</c:f>
              <c:numCache>
                <c:formatCode>0.00</c:formatCode>
                <c:ptCount val="12"/>
                <c:pt idx="0">
                  <c:v>40.024999999999999</c:v>
                </c:pt>
                <c:pt idx="1">
                  <c:v>65.45</c:v>
                </c:pt>
                <c:pt idx="2">
                  <c:v>131.19999999999999</c:v>
                </c:pt>
                <c:pt idx="3">
                  <c:v>193.39999999999998</c:v>
                </c:pt>
                <c:pt idx="4">
                  <c:v>194.92500000000001</c:v>
                </c:pt>
                <c:pt idx="5">
                  <c:v>240.32499999999999</c:v>
                </c:pt>
                <c:pt idx="6">
                  <c:v>277.72499999999997</c:v>
                </c:pt>
                <c:pt idx="7">
                  <c:v>239.75</c:v>
                </c:pt>
                <c:pt idx="8">
                  <c:v>167.875</c:v>
                </c:pt>
                <c:pt idx="9">
                  <c:v>81.45</c:v>
                </c:pt>
                <c:pt idx="10">
                  <c:v>47.475000000000009</c:v>
                </c:pt>
                <c:pt idx="11">
                  <c:v>42.699999999999996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8F-41B3-AE40-7444D8655347}"/>
            </c:ext>
          </c:extLst>
        </c:ser>
        <c:ser>
          <c:idx val="3"/>
          <c:order val="1"/>
          <c:tx>
            <c:strRef>
              <c:f>'E.Profil Data'!$R$1</c:f>
              <c:strCache>
                <c:ptCount val="1"/>
                <c:pt idx="0">
                  <c:v>Average air temperature (°C)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Data'!$X$4:$X$15</c:f>
              <c:numCache>
                <c:formatCode>0.00</c:formatCode>
                <c:ptCount val="12"/>
                <c:pt idx="0">
                  <c:v>-0.17499999999999999</c:v>
                </c:pt>
                <c:pt idx="1">
                  <c:v>2.4750000000000001</c:v>
                </c:pt>
                <c:pt idx="2">
                  <c:v>4.9749999999999996</c:v>
                </c:pt>
                <c:pt idx="3">
                  <c:v>10.324999999999999</c:v>
                </c:pt>
                <c:pt idx="4">
                  <c:v>14.675000000000001</c:v>
                </c:pt>
                <c:pt idx="5">
                  <c:v>18.7</c:v>
                </c:pt>
                <c:pt idx="6">
                  <c:v>21.625</c:v>
                </c:pt>
                <c:pt idx="7">
                  <c:v>20.125</c:v>
                </c:pt>
                <c:pt idx="8">
                  <c:v>15.65</c:v>
                </c:pt>
                <c:pt idx="9">
                  <c:v>9.8000000000000007</c:v>
                </c:pt>
                <c:pt idx="10">
                  <c:v>5.7750000000000004</c:v>
                </c:pt>
                <c:pt idx="11">
                  <c:v>1.7749999999999999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8F-41B3-AE40-7444D8655347}"/>
            </c:ext>
          </c:extLst>
        </c:ser>
        <c:ser>
          <c:idx val="1"/>
          <c:order val="2"/>
          <c:tx>
            <c:strRef>
              <c:f>'E.Profil Data'!$Z$1</c:f>
              <c:strCache>
                <c:ptCount val="1"/>
                <c:pt idx="0">
                  <c:v>Total precipitations (mm)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Data'!$AF$4:$AF$15</c:f>
              <c:numCache>
                <c:formatCode>0.00</c:formatCode>
                <c:ptCount val="12"/>
                <c:pt idx="0">
                  <c:v>31.4</c:v>
                </c:pt>
                <c:pt idx="1">
                  <c:v>32.774999999999999</c:v>
                </c:pt>
                <c:pt idx="2">
                  <c:v>33.299999999999997</c:v>
                </c:pt>
                <c:pt idx="3">
                  <c:v>35.175000000000004</c:v>
                </c:pt>
                <c:pt idx="4">
                  <c:v>52.400000000000006</c:v>
                </c:pt>
                <c:pt idx="5">
                  <c:v>63.800000000000004</c:v>
                </c:pt>
                <c:pt idx="6">
                  <c:v>74.375</c:v>
                </c:pt>
                <c:pt idx="7">
                  <c:v>69.949999999999989</c:v>
                </c:pt>
                <c:pt idx="8">
                  <c:v>50.724999999999994</c:v>
                </c:pt>
                <c:pt idx="9">
                  <c:v>34.225000000000001</c:v>
                </c:pt>
                <c:pt idx="10">
                  <c:v>28.024999999999999</c:v>
                </c:pt>
                <c:pt idx="11">
                  <c:v>17.375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F8F-41B3-AE40-7444D8655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19184"/>
        <c:axId val="261215216"/>
      </c:scatterChart>
      <c:valAx>
        <c:axId val="261171536"/>
        <c:scaling>
          <c:orientation val="minMax"/>
          <c:max val="12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sz="1600"/>
                  <a:t>Month</a:t>
                </a:r>
              </a:p>
            </c:rich>
          </c:tx>
          <c:layout>
            <c:manualLayout>
              <c:xMode val="edge"/>
              <c:yMode val="edge"/>
              <c:x val="0.47299987041485086"/>
              <c:y val="0.92913226697902551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210736"/>
        <c:crosses val="autoZero"/>
        <c:crossBetween val="midCat"/>
        <c:majorUnit val="1"/>
      </c:valAx>
      <c:valAx>
        <c:axId val="2612107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600"/>
                  <a:t>k</a:t>
                </a:r>
                <a:r>
                  <a:rPr lang="cs-CZ" sz="1600"/>
                  <a:t>Wh</a:t>
                </a:r>
              </a:p>
            </c:rich>
          </c:tx>
          <c:layout>
            <c:manualLayout>
              <c:xMode val="edge"/>
              <c:yMode val="edge"/>
              <c:x val="1.3650537634408602E-3"/>
              <c:y val="0.34010131004366811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171536"/>
        <c:crosses val="autoZero"/>
        <c:crossBetween val="midCat"/>
      </c:valAx>
      <c:valAx>
        <c:axId val="261215216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en-US" sz="1600"/>
                  <a:t>h, °C, mm</a:t>
                </a:r>
              </a:p>
            </c:rich>
          </c:tx>
          <c:layout>
            <c:manualLayout>
              <c:xMode val="edge"/>
              <c:yMode val="edge"/>
              <c:x val="0.90033225806451611"/>
              <c:y val="0.45512697026408816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219184"/>
        <c:crosses val="max"/>
        <c:crossBetween val="midCat"/>
      </c:valAx>
      <c:valAx>
        <c:axId val="26121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2152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52321776902504"/>
          <c:y val="0.48052305695916842"/>
          <c:w val="0.44562366452618363"/>
          <c:h val="0.2343829462198181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cs-CZ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Monthly</a:t>
            </a:r>
            <a:r>
              <a:rPr lang="cs-CZ" baseline="0"/>
              <a:t> (2013 - 2018) P</a:t>
            </a:r>
            <a:r>
              <a:rPr lang="cs-CZ"/>
              <a:t>roduction of E</a:t>
            </a:r>
            <a:r>
              <a:rPr lang="en-US"/>
              <a:t>le</a:t>
            </a:r>
            <a:r>
              <a:rPr lang="cs-CZ"/>
              <a:t>ctric</a:t>
            </a:r>
            <a:r>
              <a:rPr lang="en-US"/>
              <a:t> </a:t>
            </a:r>
            <a:r>
              <a:rPr lang="cs-CZ"/>
              <a:t>E</a:t>
            </a:r>
            <a:r>
              <a:rPr lang="en-US"/>
              <a:t>nerg</a:t>
            </a:r>
            <a:r>
              <a:rPr lang="cs-CZ"/>
              <a:t>y</a:t>
            </a:r>
            <a:r>
              <a:rPr lang="en-US"/>
              <a:t> (kWh)</a:t>
            </a:r>
            <a:r>
              <a:rPr lang="cs-CZ"/>
              <a:t> </a:t>
            </a:r>
          </a:p>
          <a:p>
            <a:pPr>
              <a:defRPr/>
            </a:pPr>
            <a:r>
              <a:rPr lang="cs-CZ"/>
              <a:t>Photovoltaic System </a:t>
            </a:r>
            <a:r>
              <a:rPr lang="en-US"/>
              <a:t>1</a:t>
            </a:r>
            <a:r>
              <a:rPr lang="cs-CZ"/>
              <a:t>8</a:t>
            </a:r>
            <a:r>
              <a:rPr lang="en-US"/>
              <a:t> kWp</a:t>
            </a:r>
          </a:p>
        </c:rich>
      </c:tx>
      <c:layout>
        <c:manualLayout>
          <c:xMode val="edge"/>
          <c:yMode val="edge"/>
          <c:x val="0.17697269750506683"/>
          <c:y val="2.3256559900495442E-2"/>
        </c:manualLayout>
      </c:layout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4.7956129032258064E-2"/>
          <c:y val="1.2892825951341235E-2"/>
          <c:w val="0.92800184179984535"/>
          <c:h val="0.953045036164799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'E.Profil Data'!$B$2</c:f>
              <c:strCache>
                <c:ptCount val="1"/>
                <c:pt idx="0">
                  <c:v>Year 2013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Data'!$B$4:$B$15</c:f>
              <c:numCache>
                <c:formatCode>0.00</c:formatCode>
                <c:ptCount val="12"/>
                <c:pt idx="10">
                  <c:v>61.85</c:v>
                </c:pt>
                <c:pt idx="11">
                  <c:v>328.09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B-445A-8AD9-2D430C0D8199}"/>
            </c:ext>
          </c:extLst>
        </c:ser>
        <c:ser>
          <c:idx val="2"/>
          <c:order val="1"/>
          <c:tx>
            <c:strRef>
              <c:f>'E.Profil Data'!$C$2</c:f>
              <c:strCache>
                <c:ptCount val="1"/>
                <c:pt idx="0">
                  <c:v>Year 2014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Data'!$C$4:$C$15</c:f>
              <c:numCache>
                <c:formatCode>0.00</c:formatCode>
                <c:ptCount val="12"/>
                <c:pt idx="0">
                  <c:v>310.00000000000006</c:v>
                </c:pt>
                <c:pt idx="1">
                  <c:v>844.13999999999987</c:v>
                </c:pt>
                <c:pt idx="2">
                  <c:v>2347.91</c:v>
                </c:pt>
                <c:pt idx="3">
                  <c:v>2742.58</c:v>
                </c:pt>
                <c:pt idx="4">
                  <c:v>2099.34</c:v>
                </c:pt>
                <c:pt idx="5">
                  <c:v>2698.0499999999993</c:v>
                </c:pt>
                <c:pt idx="6">
                  <c:v>2719.8000000000011</c:v>
                </c:pt>
                <c:pt idx="7">
                  <c:v>2222.4899999999998</c:v>
                </c:pt>
                <c:pt idx="8">
                  <c:v>1826.2099999999991</c:v>
                </c:pt>
                <c:pt idx="9">
                  <c:v>963.97999999999956</c:v>
                </c:pt>
                <c:pt idx="10">
                  <c:v>375.29000000000087</c:v>
                </c:pt>
                <c:pt idx="11">
                  <c:v>252.76000000000204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DB-445A-8AD9-2D430C0D8199}"/>
            </c:ext>
          </c:extLst>
        </c:ser>
        <c:ser>
          <c:idx val="3"/>
          <c:order val="2"/>
          <c:tx>
            <c:strRef>
              <c:f>'E.Profil Data'!$D$2</c:f>
              <c:strCache>
                <c:ptCount val="1"/>
                <c:pt idx="0">
                  <c:v>Year 2015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Data'!$D$4:$D$15</c:f>
              <c:numCache>
                <c:formatCode>0.00</c:formatCode>
                <c:ptCount val="12"/>
                <c:pt idx="0">
                  <c:v>246.94999999999709</c:v>
                </c:pt>
                <c:pt idx="1">
                  <c:v>877.43000000000029</c:v>
                </c:pt>
                <c:pt idx="2">
                  <c:v>1735.6900000000023</c:v>
                </c:pt>
                <c:pt idx="3">
                  <c:v>2876.1899999999987</c:v>
                </c:pt>
                <c:pt idx="4">
                  <c:v>2131.5800000000017</c:v>
                </c:pt>
                <c:pt idx="5">
                  <c:v>2824.2199999999975</c:v>
                </c:pt>
                <c:pt idx="6">
                  <c:v>3339.4500000000007</c:v>
                </c:pt>
                <c:pt idx="7">
                  <c:v>2341.6299999999974</c:v>
                </c:pt>
                <c:pt idx="8">
                  <c:v>2273.3400000000038</c:v>
                </c:pt>
                <c:pt idx="9">
                  <c:v>699.58999999999651</c:v>
                </c:pt>
                <c:pt idx="10">
                  <c:v>516.04000000000087</c:v>
                </c:pt>
                <c:pt idx="11">
                  <c:v>187.90000000000146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DB-445A-8AD9-2D430C0D8199}"/>
            </c:ext>
          </c:extLst>
        </c:ser>
        <c:ser>
          <c:idx val="4"/>
          <c:order val="3"/>
          <c:tx>
            <c:strRef>
              <c:f>'E.Profil Data'!$E$2</c:f>
              <c:strCache>
                <c:ptCount val="1"/>
                <c:pt idx="0">
                  <c:v>Year 2016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5"/>
            <c:spPr>
              <a:solidFill>
                <a:schemeClr val="bg1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Data'!$E$4:$E$15</c:f>
              <c:numCache>
                <c:formatCode>0.00</c:formatCode>
                <c:ptCount val="12"/>
                <c:pt idx="0">
                  <c:v>297.79000000000087</c:v>
                </c:pt>
                <c:pt idx="1">
                  <c:v>689.30999999999767</c:v>
                </c:pt>
                <c:pt idx="2">
                  <c:v>1370.6200000000026</c:v>
                </c:pt>
                <c:pt idx="3">
                  <c:v>2543.7799999999988</c:v>
                </c:pt>
                <c:pt idx="4">
                  <c:v>2613</c:v>
                </c:pt>
                <c:pt idx="5">
                  <c:v>2713.6800000000003</c:v>
                </c:pt>
                <c:pt idx="6">
                  <c:v>2647.1299999999974</c:v>
                </c:pt>
                <c:pt idx="7">
                  <c:v>2613.9599999999991</c:v>
                </c:pt>
                <c:pt idx="8">
                  <c:v>2508.2300000000032</c:v>
                </c:pt>
                <c:pt idx="9">
                  <c:v>659</c:v>
                </c:pt>
                <c:pt idx="10">
                  <c:v>468</c:v>
                </c:pt>
                <c:pt idx="11">
                  <c:v>172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DB-445A-8AD9-2D430C0D8199}"/>
            </c:ext>
          </c:extLst>
        </c:ser>
        <c:ser>
          <c:idx val="5"/>
          <c:order val="4"/>
          <c:tx>
            <c:strRef>
              <c:f>'E.Profil Data'!$F$2</c:f>
              <c:strCache>
                <c:ptCount val="1"/>
                <c:pt idx="0">
                  <c:v>Year 2017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Data'!$F$4:$F$15</c:f>
              <c:numCache>
                <c:formatCode>0.00</c:formatCode>
                <c:ptCount val="12"/>
                <c:pt idx="0">
                  <c:v>317</c:v>
                </c:pt>
                <c:pt idx="1">
                  <c:v>767</c:v>
                </c:pt>
                <c:pt idx="2">
                  <c:v>2142</c:v>
                </c:pt>
                <c:pt idx="3">
                  <c:v>1979</c:v>
                </c:pt>
                <c:pt idx="4">
                  <c:v>3396.7100000000064</c:v>
                </c:pt>
                <c:pt idx="5">
                  <c:v>2266.179999999993</c:v>
                </c:pt>
                <c:pt idx="6">
                  <c:v>2773.7299999999959</c:v>
                </c:pt>
                <c:pt idx="7">
                  <c:v>2741.1600000000035</c:v>
                </c:pt>
                <c:pt idx="8">
                  <c:v>1464.7700000000041</c:v>
                </c:pt>
                <c:pt idx="9">
                  <c:v>976.39999999999418</c:v>
                </c:pt>
                <c:pt idx="10">
                  <c:v>480.05000000000291</c:v>
                </c:pt>
                <c:pt idx="11">
                  <c:v>169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DB-445A-8AD9-2D430C0D8199}"/>
            </c:ext>
          </c:extLst>
        </c:ser>
        <c:ser>
          <c:idx val="6"/>
          <c:order val="5"/>
          <c:tx>
            <c:strRef>
              <c:f>'E.Profil Data'!$G$2</c:f>
              <c:strCache>
                <c:ptCount val="1"/>
                <c:pt idx="0">
                  <c:v>Year 2018</c:v>
                </c:pt>
              </c:strCache>
            </c:strRef>
          </c:tx>
          <c:spPr>
            <a:ln w="28575">
              <a:noFill/>
            </a:ln>
          </c:spPr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Data'!$G$4:$G$15</c:f>
              <c:numCache>
                <c:formatCode>0.00</c:formatCode>
                <c:ptCount val="12"/>
                <c:pt idx="0">
                  <c:v>280</c:v>
                </c:pt>
                <c:pt idx="1">
                  <c:v>879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DB-445A-8AD9-2D430C0D8199}"/>
            </c:ext>
          </c:extLst>
        </c:ser>
        <c:ser>
          <c:idx val="0"/>
          <c:order val="6"/>
          <c:tx>
            <c:strRef>
              <c:f>'E.Profil Data'!$H$2</c:f>
              <c:strCache>
                <c:ptCount val="1"/>
                <c:pt idx="0">
                  <c:v>Average monthly production (kWh)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</c:marker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-0.21706995298616405"/>
                  <c:y val="4.4309368171444562E-3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400"/>
                  </a:pPr>
                  <a:endParaRPr lang="cs-CZ"/>
                </a:p>
              </c:txPr>
            </c:trendlineLbl>
          </c:trendline>
          <c:errBars>
            <c:errDir val="y"/>
            <c:errBarType val="both"/>
            <c:errValType val="stdErr"/>
            <c:noEndCap val="0"/>
            <c:spPr>
              <a:ln w="12700">
                <a:solidFill>
                  <a:schemeClr val="accent1"/>
                </a:solidFill>
              </a:ln>
            </c:spPr>
          </c:errBars>
          <c:xVal>
            <c:numRef>
              <c:f>'E.Profil Data'!$A$4:$A$15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'E.Profil Data'!$H$4:$H$15</c:f>
              <c:numCache>
                <c:formatCode>0.00</c:formatCode>
                <c:ptCount val="12"/>
                <c:pt idx="0">
                  <c:v>290.34799999999962</c:v>
                </c:pt>
                <c:pt idx="1">
                  <c:v>811.37599999999952</c:v>
                </c:pt>
                <c:pt idx="2">
                  <c:v>1899.0550000000012</c:v>
                </c:pt>
                <c:pt idx="3">
                  <c:v>2535.3874999999994</c:v>
                </c:pt>
                <c:pt idx="4">
                  <c:v>2560.1575000000021</c:v>
                </c:pt>
                <c:pt idx="5">
                  <c:v>2625.5324999999975</c:v>
                </c:pt>
                <c:pt idx="6">
                  <c:v>2870.0274999999988</c:v>
                </c:pt>
                <c:pt idx="7">
                  <c:v>2479.81</c:v>
                </c:pt>
                <c:pt idx="8">
                  <c:v>2018.1375000000025</c:v>
                </c:pt>
                <c:pt idx="9">
                  <c:v>824.74249999999756</c:v>
                </c:pt>
                <c:pt idx="10">
                  <c:v>380.24600000000089</c:v>
                </c:pt>
                <c:pt idx="11">
                  <c:v>221.95000000000067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9DB-445A-8AD9-2D430C0D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894528"/>
        <c:axId val="260901056"/>
      </c:scatterChart>
      <c:valAx>
        <c:axId val="260894528"/>
        <c:scaling>
          <c:orientation val="minMax"/>
          <c:max val="12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sz="1600"/>
                  <a:t>Month</a:t>
                </a:r>
              </a:p>
            </c:rich>
          </c:tx>
          <c:layout>
            <c:manualLayout>
              <c:xMode val="edge"/>
              <c:yMode val="edge"/>
              <c:x val="0.47709863618850662"/>
              <c:y val="0.95235787167157304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0901056"/>
        <c:crosses val="autoZero"/>
        <c:crossBetween val="midCat"/>
        <c:majorUnit val="1"/>
      </c:valAx>
      <c:valAx>
        <c:axId val="2609010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600"/>
                  <a:t>k</a:t>
                </a:r>
                <a:r>
                  <a:rPr lang="cs-CZ" sz="1600"/>
                  <a:t>Wh</a:t>
                </a:r>
              </a:p>
            </c:rich>
          </c:tx>
          <c:layout>
            <c:manualLayout>
              <c:xMode val="edge"/>
              <c:yMode val="edge"/>
              <c:x val="1.3650537634408602E-3"/>
              <c:y val="0.3971443543356207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08945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88556255964836"/>
          <c:y val="0.49922386726169071"/>
          <c:w val="0.4004542142143519"/>
          <c:h val="0.3358434385705064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cs-CZ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Ceny elektrické energie - data a trendy (bez DPH)</a:t>
            </a:r>
          </a:p>
        </c:rich>
      </c:tx>
      <c:layout>
        <c:manualLayout>
          <c:xMode val="edge"/>
          <c:yMode val="edge"/>
          <c:x val="9.4399453139610623E-2"/>
          <c:y val="7.3920183054041327E-2"/>
        </c:manualLayout>
      </c:layout>
      <c:overlay val="0"/>
      <c:spPr>
        <a:solidFill>
          <a:schemeClr val="bg1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29567864213534E-2"/>
          <c:y val="2.357586630785076E-2"/>
          <c:w val="0.93978955333286041"/>
          <c:h val="0.88763600062812664"/>
        </c:manualLayout>
      </c:layout>
      <c:scatterChart>
        <c:scatterStyle val="lineMarker"/>
        <c:varyColors val="0"/>
        <c:ser>
          <c:idx val="1"/>
          <c:order val="0"/>
          <c:tx>
            <c:strRef>
              <c:f>'Ceny El.nákup'!$F$2</c:f>
              <c:strCache>
                <c:ptCount val="1"/>
                <c:pt idx="0">
                  <c:v>CZK/kWh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trendline>
            <c:spPr>
              <a:ln>
                <a:solidFill>
                  <a:schemeClr val="accent2"/>
                </a:solidFill>
              </a:ln>
            </c:spPr>
            <c:trendlineType val="power"/>
            <c:forward val="31"/>
            <c:dispRSqr val="1"/>
            <c:dispEq val="1"/>
            <c:trendlineLbl>
              <c:layout>
                <c:manualLayout>
                  <c:x val="-0.22964782964782965"/>
                  <c:y val="0.18440137290530992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cs-CZ"/>
                </a:p>
              </c:txPr>
            </c:trendlineLbl>
          </c:trendline>
          <c:xVal>
            <c:numRef>
              <c:f>'Ceny El.nákup'!$A$3:$A$19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xVal>
          <c:yVal>
            <c:numRef>
              <c:f>'Ceny El.nákup'!$F$3:$F$19</c:f>
              <c:numCache>
                <c:formatCode>_("Kč"* #,##0.00_);_("Kč"* \(#,##0.00\);_("Kč"* "-"??_);_(@_)</c:formatCode>
                <c:ptCount val="17"/>
                <c:pt idx="0">
                  <c:v>2.3402566452795597</c:v>
                </c:pt>
                <c:pt idx="2">
                  <c:v>2.9086395700369501</c:v>
                </c:pt>
                <c:pt idx="3">
                  <c:v>2.7203026257231868</c:v>
                </c:pt>
                <c:pt idx="4">
                  <c:v>2.7449156272927366</c:v>
                </c:pt>
                <c:pt idx="5">
                  <c:v>2.8366436170212768</c:v>
                </c:pt>
                <c:pt idx="6">
                  <c:v>3.1759388766519825</c:v>
                </c:pt>
                <c:pt idx="7">
                  <c:v>3.4320441051738761</c:v>
                </c:pt>
                <c:pt idx="9">
                  <c:v>3.9889327146171696</c:v>
                </c:pt>
                <c:pt idx="10">
                  <c:v>4.7110615105112901</c:v>
                </c:pt>
                <c:pt idx="11">
                  <c:v>4.1081048387096777</c:v>
                </c:pt>
                <c:pt idx="12">
                  <c:v>4.3177823577906018</c:v>
                </c:pt>
                <c:pt idx="13">
                  <c:v>4.5042415402567091</c:v>
                </c:pt>
                <c:pt idx="14">
                  <c:v>4.2883526958593983</c:v>
                </c:pt>
                <c:pt idx="15">
                  <c:v>4.9279274764150944</c:v>
                </c:pt>
                <c:pt idx="16">
                  <c:v>3.8459401709401706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3D-4C82-995C-B5EA31C4DD7D}"/>
            </c:ext>
          </c:extLst>
        </c:ser>
        <c:ser>
          <c:idx val="0"/>
          <c:order val="1"/>
          <c:tx>
            <c:strRef>
              <c:f>'Ceny El.nákup'!$M$1</c:f>
              <c:strCache>
                <c:ptCount val="1"/>
                <c:pt idx="0">
                  <c:v>Tarif TESCO SW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1291832992620403"/>
                  <c:y val="-1.7128788388630908E-2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cs-CZ"/>
                </a:p>
              </c:txPr>
            </c:trendlineLbl>
          </c:trendline>
          <c:xVal>
            <c:numRef>
              <c:f>'Ceny El.nákup'!$A$3:$A$53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xVal>
          <c:yVal>
            <c:numRef>
              <c:f>'Ceny El.nákup'!$M$3:$M$53</c:f>
              <c:numCache>
                <c:formatCode>_("Kč"* #,##0.00_);_("Kč"* \(#,##0.00\);_("Kč"* "-"??_);_(@_)</c:formatCode>
                <c:ptCount val="51"/>
                <c:pt idx="0">
                  <c:v>0.24025664527955959</c:v>
                </c:pt>
                <c:pt idx="2">
                  <c:v>0.80863957003694997</c:v>
                </c:pt>
                <c:pt idx="3">
                  <c:v>0.62030262572318673</c:v>
                </c:pt>
                <c:pt idx="4">
                  <c:v>0.64491562729273655</c:v>
                </c:pt>
                <c:pt idx="5">
                  <c:v>0.73664361702127668</c:v>
                </c:pt>
                <c:pt idx="6">
                  <c:v>1.0759388766519824</c:v>
                </c:pt>
                <c:pt idx="7">
                  <c:v>1.3320441051738761</c:v>
                </c:pt>
                <c:pt idx="9">
                  <c:v>1.8889327146171695</c:v>
                </c:pt>
                <c:pt idx="10">
                  <c:v>2.61106151051129</c:v>
                </c:pt>
                <c:pt idx="11">
                  <c:v>2.0081048387096776</c:v>
                </c:pt>
                <c:pt idx="12">
                  <c:v>2.2177823577906017</c:v>
                </c:pt>
                <c:pt idx="13">
                  <c:v>2.404241540256709</c:v>
                </c:pt>
                <c:pt idx="14">
                  <c:v>2.81</c:v>
                </c:pt>
                <c:pt idx="15">
                  <c:v>2.9</c:v>
                </c:pt>
                <c:pt idx="16">
                  <c:v>2.4</c:v>
                </c:pt>
                <c:pt idx="17">
                  <c:v>2.09</c:v>
                </c:pt>
                <c:pt idx="18">
                  <c:v>2.02</c:v>
                </c:pt>
                <c:pt idx="19">
                  <c:v>2.9417000000000257</c:v>
                </c:pt>
                <c:pt idx="20">
                  <c:v>3.0760000000000218</c:v>
                </c:pt>
                <c:pt idx="21">
                  <c:v>3.2103000000000179</c:v>
                </c:pt>
                <c:pt idx="22">
                  <c:v>3.344600000000014</c:v>
                </c:pt>
                <c:pt idx="23">
                  <c:v>3.4789000000000101</c:v>
                </c:pt>
                <c:pt idx="24">
                  <c:v>3.6132000000000062</c:v>
                </c:pt>
                <c:pt idx="25">
                  <c:v>3.7475000000000023</c:v>
                </c:pt>
                <c:pt idx="26">
                  <c:v>3.8817999999999984</c:v>
                </c:pt>
                <c:pt idx="27">
                  <c:v>4.0161000000000513</c:v>
                </c:pt>
                <c:pt idx="28">
                  <c:v>4.1504000000000474</c:v>
                </c:pt>
                <c:pt idx="29">
                  <c:v>4.2847000000000435</c:v>
                </c:pt>
                <c:pt idx="30">
                  <c:v>4.4190000000000396</c:v>
                </c:pt>
                <c:pt idx="31">
                  <c:v>4.5533000000000357</c:v>
                </c:pt>
                <c:pt idx="32">
                  <c:v>4.6876000000000317</c:v>
                </c:pt>
                <c:pt idx="33">
                  <c:v>4.8219000000000278</c:v>
                </c:pt>
                <c:pt idx="34">
                  <c:v>4.9562000000000239</c:v>
                </c:pt>
                <c:pt idx="35">
                  <c:v>5.09050000000002</c:v>
                </c:pt>
                <c:pt idx="36">
                  <c:v>5.2248000000000161</c:v>
                </c:pt>
                <c:pt idx="37">
                  <c:v>5.3591000000000122</c:v>
                </c:pt>
                <c:pt idx="38">
                  <c:v>5.4934000000000083</c:v>
                </c:pt>
                <c:pt idx="39">
                  <c:v>5.6277000000000044</c:v>
                </c:pt>
                <c:pt idx="40">
                  <c:v>5.7620000000000005</c:v>
                </c:pt>
                <c:pt idx="41">
                  <c:v>5.8963000000000534</c:v>
                </c:pt>
                <c:pt idx="42">
                  <c:v>6.0306000000000495</c:v>
                </c:pt>
                <c:pt idx="43">
                  <c:v>6.1649000000000456</c:v>
                </c:pt>
                <c:pt idx="44">
                  <c:v>6.2992000000000417</c:v>
                </c:pt>
                <c:pt idx="45">
                  <c:v>6.4335000000000377</c:v>
                </c:pt>
                <c:pt idx="46">
                  <c:v>6.5678000000000338</c:v>
                </c:pt>
                <c:pt idx="47">
                  <c:v>6.7021000000000299</c:v>
                </c:pt>
                <c:pt idx="48">
                  <c:v>6.836400000000026</c:v>
                </c:pt>
                <c:pt idx="49">
                  <c:v>6.9707000000000221</c:v>
                </c:pt>
                <c:pt idx="50">
                  <c:v>7.1050000000000182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3D-4C82-995C-B5EA31C4DD7D}"/>
            </c:ext>
          </c:extLst>
        </c:ser>
        <c:ser>
          <c:idx val="2"/>
          <c:order val="2"/>
          <c:tx>
            <c:strRef>
              <c:f>'Ceny El.nákup'!$N$1</c:f>
              <c:strCache>
                <c:ptCount val="1"/>
                <c:pt idx="0">
                  <c:v>Tarif MVŠO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8.1168441168441172E-2"/>
                  <c:y val="-7.1325795813984794E-2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cs-CZ"/>
                </a:p>
              </c:txPr>
            </c:trendlineLbl>
          </c:trendline>
          <c:xVal>
            <c:numRef>
              <c:f>'Ceny El.nákup'!$A$3:$A$53</c:f>
              <c:numCache>
                <c:formatCode>General</c:formatCode>
                <c:ptCount val="5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</c:numCache>
            </c:numRef>
          </c:xVal>
          <c:yVal>
            <c:numRef>
              <c:f>'Ceny El.nákup'!$N$3:$N$53</c:f>
              <c:numCache>
                <c:formatCode>General</c:formatCode>
                <c:ptCount val="51"/>
                <c:pt idx="13" formatCode="_(&quot;Kč&quot;* #,##0.00_);_(&quot;Kč&quot;* \(#,##0.00\);_(&quot;Kč&quot;* &quot;-&quot;??_);_(@_)">
                  <c:v>2.8328038929066004</c:v>
                </c:pt>
                <c:pt idx="14" formatCode="_(&quot;Kč&quot;* #,##0.00_);_(&quot;Kč&quot;* \(#,##0.00\);_(&quot;Kč&quot;* &quot;-&quot;??_);_(@_)">
                  <c:v>3.2738382387881999</c:v>
                </c:pt>
                <c:pt idx="15" formatCode="_(&quot;Kč&quot;* #,##0.00_);_(&quot;Kč&quot;* \(#,##0.00\);_(&quot;Kč&quot;* &quot;-&quot;??_);_(@_)">
                  <c:v>3.2373803205085676</c:v>
                </c:pt>
                <c:pt idx="16" formatCode="_(&quot;Kč&quot;* #,##0.00_);_(&quot;Kč&quot;* \(#,##0.00\);_(&quot;Kč&quot;* &quot;-&quot;??_);_(@_)">
                  <c:v>2.6858417443577847</c:v>
                </c:pt>
                <c:pt idx="17" formatCode="_(&quot;Kč&quot;* #,##0.00_);_(&quot;Kč&quot;* \(#,##0.00\);_(&quot;Kč&quot;* &quot;-&quot;??_);_(@_)">
                  <c:v>2.2992544939146509</c:v>
                </c:pt>
                <c:pt idx="18" formatCode="_(&quot;Kč&quot;* #,##0.00_);_(&quot;Kč&quot;* \(#,##0.00\);_(&quot;Kč&quot;* &quot;-&quot;??_);_(@_)">
                  <c:v>2.4618455565142363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3D-4C82-995C-B5EA31C4D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973816"/>
        <c:axId val="261237560"/>
      </c:scatterChart>
      <c:valAx>
        <c:axId val="260973816"/>
        <c:scaling>
          <c:orientation val="minMax"/>
          <c:max val="2045"/>
          <c:min val="2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600"/>
                  <a:t>Rok</a:t>
                </a:r>
              </a:p>
            </c:rich>
          </c:tx>
          <c:layout>
            <c:manualLayout>
              <c:xMode val="edge"/>
              <c:yMode val="edge"/>
              <c:x val="0.27032564418391192"/>
              <c:y val="0.83150189559638388"/>
            </c:manualLayout>
          </c:layout>
          <c:overlay val="0"/>
          <c:spPr>
            <a:solidFill>
              <a:sysClr val="window" lastClr="FFFFFF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61237560"/>
        <c:crosses val="autoZero"/>
        <c:crossBetween val="midCat"/>
        <c:majorUnit val="1"/>
      </c:valAx>
      <c:valAx>
        <c:axId val="261237560"/>
        <c:scaling>
          <c:orientation val="minMax"/>
          <c:max val="19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Kč/kWh</a:t>
                </a:r>
                <a:endParaRPr lang="cs-CZ" sz="1600"/>
              </a:p>
            </c:rich>
          </c:tx>
          <c:layout>
            <c:manualLayout>
              <c:xMode val="edge"/>
              <c:yMode val="edge"/>
              <c:x val="5.3472627960816935E-2"/>
              <c:y val="0.41280166902214149"/>
            </c:manualLayout>
          </c:layout>
          <c:overlay val="0"/>
          <c:spPr>
            <a:solidFill>
              <a:sysClr val="window" lastClr="FFFFFF"/>
            </a:solidFill>
            <a:ln w="25400">
              <a:noFill/>
            </a:ln>
          </c:spPr>
        </c:title>
        <c:numFmt formatCode="_(&quot;Kč&quot;* #,##0_);_(&quot;Kč&quot;* \(#,##0\);_(&quot;Kč&quot;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609738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Diskontní sazba - data a trendy</a:t>
            </a:r>
          </a:p>
        </c:rich>
      </c:tx>
      <c:layout>
        <c:manualLayout>
          <c:xMode val="edge"/>
          <c:yMode val="edge"/>
          <c:x val="0.60545596419612169"/>
          <c:y val="4.827915741301568E-2"/>
        </c:manualLayout>
      </c:layout>
      <c:overlay val="0"/>
      <c:spPr>
        <a:solidFill>
          <a:schemeClr val="bg1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29567864213534E-2"/>
          <c:y val="2.357586630785076E-2"/>
          <c:w val="0.93978955333286041"/>
          <c:h val="0.88763600062812664"/>
        </c:manualLayout>
      </c:layout>
      <c:scatterChart>
        <c:scatterStyle val="lineMarker"/>
        <c:varyColors val="0"/>
        <c:ser>
          <c:idx val="1"/>
          <c:order val="0"/>
          <c:tx>
            <c:strRef>
              <c:f>Diskont!$B$2</c:f>
              <c:strCache>
                <c:ptCount val="1"/>
                <c:pt idx="0">
                  <c:v>%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</c:marker>
          <c:trendline>
            <c:spPr>
              <a:ln>
                <a:solidFill>
                  <a:schemeClr val="accent2"/>
                </a:solidFill>
              </a:ln>
            </c:spPr>
            <c:trendlineType val="exp"/>
            <c:forward val="31"/>
            <c:dispRSqr val="1"/>
            <c:dispEq val="1"/>
            <c:trendlineLbl>
              <c:layout>
                <c:manualLayout>
                  <c:x val="-9.8844413490082786E-2"/>
                  <c:y val="-0.49686676985889583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cs-CZ"/>
                </a:p>
              </c:txPr>
            </c:trendlineLbl>
          </c:trendline>
          <c:xVal>
            <c:numRef>
              <c:f>Diskont!$A$4:$A$346</c:f>
              <c:numCache>
                <c:formatCode>m/d/yyyy</c:formatCode>
                <c:ptCount val="343"/>
                <c:pt idx="0">
                  <c:v>32874</c:v>
                </c:pt>
                <c:pt idx="1">
                  <c:v>32964</c:v>
                </c:pt>
                <c:pt idx="2">
                  <c:v>33147</c:v>
                </c:pt>
                <c:pt idx="3">
                  <c:v>33188</c:v>
                </c:pt>
                <c:pt idx="4">
                  <c:v>33239</c:v>
                </c:pt>
                <c:pt idx="5">
                  <c:v>33489</c:v>
                </c:pt>
                <c:pt idx="6">
                  <c:v>33688</c:v>
                </c:pt>
                <c:pt idx="7">
                  <c:v>33842</c:v>
                </c:pt>
                <c:pt idx="8">
                  <c:v>33968</c:v>
                </c:pt>
                <c:pt idx="9">
                  <c:v>34000</c:v>
                </c:pt>
                <c:pt idx="10">
                  <c:v>34028</c:v>
                </c:pt>
                <c:pt idx="11">
                  <c:v>34059</c:v>
                </c:pt>
                <c:pt idx="12">
                  <c:v>34089</c:v>
                </c:pt>
                <c:pt idx="13">
                  <c:v>34120</c:v>
                </c:pt>
                <c:pt idx="14">
                  <c:v>34130</c:v>
                </c:pt>
                <c:pt idx="15">
                  <c:v>34150</c:v>
                </c:pt>
                <c:pt idx="16">
                  <c:v>34181</c:v>
                </c:pt>
                <c:pt idx="17">
                  <c:v>34212</c:v>
                </c:pt>
                <c:pt idx="18">
                  <c:v>34242</c:v>
                </c:pt>
                <c:pt idx="19">
                  <c:v>34273</c:v>
                </c:pt>
                <c:pt idx="20">
                  <c:v>34303</c:v>
                </c:pt>
                <c:pt idx="21">
                  <c:v>34334</c:v>
                </c:pt>
                <c:pt idx="22">
                  <c:v>34365</c:v>
                </c:pt>
                <c:pt idx="23">
                  <c:v>34393</c:v>
                </c:pt>
                <c:pt idx="24">
                  <c:v>34424</c:v>
                </c:pt>
                <c:pt idx="25">
                  <c:v>34454</c:v>
                </c:pt>
                <c:pt idx="26">
                  <c:v>34485</c:v>
                </c:pt>
                <c:pt idx="27">
                  <c:v>34515</c:v>
                </c:pt>
                <c:pt idx="28">
                  <c:v>34546</c:v>
                </c:pt>
                <c:pt idx="29">
                  <c:v>34577</c:v>
                </c:pt>
                <c:pt idx="30">
                  <c:v>34607</c:v>
                </c:pt>
                <c:pt idx="31">
                  <c:v>34631</c:v>
                </c:pt>
                <c:pt idx="32">
                  <c:v>34638</c:v>
                </c:pt>
                <c:pt idx="33">
                  <c:v>34668</c:v>
                </c:pt>
                <c:pt idx="34">
                  <c:v>34699</c:v>
                </c:pt>
                <c:pt idx="35">
                  <c:v>34730</c:v>
                </c:pt>
                <c:pt idx="36">
                  <c:v>34758</c:v>
                </c:pt>
                <c:pt idx="37">
                  <c:v>34789</c:v>
                </c:pt>
                <c:pt idx="38">
                  <c:v>34819</c:v>
                </c:pt>
                <c:pt idx="39">
                  <c:v>34850</c:v>
                </c:pt>
                <c:pt idx="40">
                  <c:v>34876</c:v>
                </c:pt>
                <c:pt idx="41">
                  <c:v>34880</c:v>
                </c:pt>
                <c:pt idx="42">
                  <c:v>34911</c:v>
                </c:pt>
                <c:pt idx="43">
                  <c:v>34942</c:v>
                </c:pt>
                <c:pt idx="44">
                  <c:v>34972</c:v>
                </c:pt>
                <c:pt idx="45">
                  <c:v>35003</c:v>
                </c:pt>
                <c:pt idx="46">
                  <c:v>35033</c:v>
                </c:pt>
                <c:pt idx="47">
                  <c:v>35064</c:v>
                </c:pt>
                <c:pt idx="48">
                  <c:v>35095</c:v>
                </c:pt>
                <c:pt idx="49">
                  <c:v>35124</c:v>
                </c:pt>
                <c:pt idx="50">
                  <c:v>35155</c:v>
                </c:pt>
                <c:pt idx="51">
                  <c:v>35185</c:v>
                </c:pt>
                <c:pt idx="52">
                  <c:v>35216</c:v>
                </c:pt>
                <c:pt idx="53">
                  <c:v>35237</c:v>
                </c:pt>
                <c:pt idx="54">
                  <c:v>35246</c:v>
                </c:pt>
                <c:pt idx="55">
                  <c:v>35277</c:v>
                </c:pt>
                <c:pt idx="56">
                  <c:v>35308</c:v>
                </c:pt>
                <c:pt idx="57">
                  <c:v>35338</c:v>
                </c:pt>
                <c:pt idx="58">
                  <c:v>35369</c:v>
                </c:pt>
                <c:pt idx="59">
                  <c:v>35399</c:v>
                </c:pt>
                <c:pt idx="60">
                  <c:v>35430</c:v>
                </c:pt>
                <c:pt idx="61">
                  <c:v>35461</c:v>
                </c:pt>
                <c:pt idx="62">
                  <c:v>35489</c:v>
                </c:pt>
                <c:pt idx="63">
                  <c:v>35520</c:v>
                </c:pt>
                <c:pt idx="64">
                  <c:v>35550</c:v>
                </c:pt>
                <c:pt idx="65">
                  <c:v>35577</c:v>
                </c:pt>
                <c:pt idx="66">
                  <c:v>35581</c:v>
                </c:pt>
                <c:pt idx="67">
                  <c:v>35611</c:v>
                </c:pt>
                <c:pt idx="68">
                  <c:v>35642</c:v>
                </c:pt>
                <c:pt idx="69">
                  <c:v>35673</c:v>
                </c:pt>
                <c:pt idx="70">
                  <c:v>35703</c:v>
                </c:pt>
                <c:pt idx="71">
                  <c:v>35734</c:v>
                </c:pt>
                <c:pt idx="72">
                  <c:v>35764</c:v>
                </c:pt>
                <c:pt idx="73">
                  <c:v>35795</c:v>
                </c:pt>
                <c:pt idx="74">
                  <c:v>35826</c:v>
                </c:pt>
                <c:pt idx="75">
                  <c:v>35854</c:v>
                </c:pt>
                <c:pt idx="76">
                  <c:v>35885</c:v>
                </c:pt>
                <c:pt idx="77">
                  <c:v>35915</c:v>
                </c:pt>
                <c:pt idx="78">
                  <c:v>35946</c:v>
                </c:pt>
                <c:pt idx="79">
                  <c:v>35976</c:v>
                </c:pt>
                <c:pt idx="80">
                  <c:v>36007</c:v>
                </c:pt>
                <c:pt idx="81">
                  <c:v>36021</c:v>
                </c:pt>
                <c:pt idx="82">
                  <c:v>36038</c:v>
                </c:pt>
                <c:pt idx="83">
                  <c:v>36068</c:v>
                </c:pt>
                <c:pt idx="84">
                  <c:v>36095</c:v>
                </c:pt>
                <c:pt idx="85">
                  <c:v>36099</c:v>
                </c:pt>
                <c:pt idx="86">
                  <c:v>36129</c:v>
                </c:pt>
                <c:pt idx="87">
                  <c:v>36152</c:v>
                </c:pt>
                <c:pt idx="88">
                  <c:v>36160</c:v>
                </c:pt>
                <c:pt idx="89">
                  <c:v>36191</c:v>
                </c:pt>
                <c:pt idx="90">
                  <c:v>36219</c:v>
                </c:pt>
                <c:pt idx="91">
                  <c:v>36231</c:v>
                </c:pt>
                <c:pt idx="92">
                  <c:v>36250</c:v>
                </c:pt>
                <c:pt idx="93">
                  <c:v>36280</c:v>
                </c:pt>
                <c:pt idx="94">
                  <c:v>36311</c:v>
                </c:pt>
                <c:pt idx="95">
                  <c:v>36341</c:v>
                </c:pt>
                <c:pt idx="96">
                  <c:v>36372</c:v>
                </c:pt>
                <c:pt idx="97">
                  <c:v>36403</c:v>
                </c:pt>
                <c:pt idx="98">
                  <c:v>36406</c:v>
                </c:pt>
                <c:pt idx="99">
                  <c:v>36433</c:v>
                </c:pt>
                <c:pt idx="100">
                  <c:v>36460</c:v>
                </c:pt>
                <c:pt idx="101">
                  <c:v>36464</c:v>
                </c:pt>
                <c:pt idx="102">
                  <c:v>36494</c:v>
                </c:pt>
                <c:pt idx="103">
                  <c:v>36525</c:v>
                </c:pt>
                <c:pt idx="104">
                  <c:v>36556</c:v>
                </c:pt>
                <c:pt idx="105">
                  <c:v>36585</c:v>
                </c:pt>
                <c:pt idx="106">
                  <c:v>36616</c:v>
                </c:pt>
                <c:pt idx="107">
                  <c:v>36646</c:v>
                </c:pt>
                <c:pt idx="108">
                  <c:v>36677</c:v>
                </c:pt>
                <c:pt idx="109">
                  <c:v>36707</c:v>
                </c:pt>
                <c:pt idx="110">
                  <c:v>36738</c:v>
                </c:pt>
                <c:pt idx="111">
                  <c:v>36769</c:v>
                </c:pt>
                <c:pt idx="112">
                  <c:v>36799</c:v>
                </c:pt>
                <c:pt idx="113">
                  <c:v>36830</c:v>
                </c:pt>
                <c:pt idx="114">
                  <c:v>36860</c:v>
                </c:pt>
                <c:pt idx="115">
                  <c:v>36891</c:v>
                </c:pt>
                <c:pt idx="116">
                  <c:v>36922</c:v>
                </c:pt>
                <c:pt idx="117">
                  <c:v>36945</c:v>
                </c:pt>
                <c:pt idx="118">
                  <c:v>36950</c:v>
                </c:pt>
                <c:pt idx="119">
                  <c:v>36981</c:v>
                </c:pt>
                <c:pt idx="120">
                  <c:v>37011</c:v>
                </c:pt>
                <c:pt idx="121">
                  <c:v>37042</c:v>
                </c:pt>
                <c:pt idx="122">
                  <c:v>37072</c:v>
                </c:pt>
                <c:pt idx="123">
                  <c:v>37099</c:v>
                </c:pt>
                <c:pt idx="124">
                  <c:v>37103</c:v>
                </c:pt>
                <c:pt idx="125">
                  <c:v>37134</c:v>
                </c:pt>
                <c:pt idx="126">
                  <c:v>37164</c:v>
                </c:pt>
                <c:pt idx="127">
                  <c:v>37195</c:v>
                </c:pt>
                <c:pt idx="128">
                  <c:v>37225</c:v>
                </c:pt>
                <c:pt idx="129">
                  <c:v>37225</c:v>
                </c:pt>
                <c:pt idx="130">
                  <c:v>37256</c:v>
                </c:pt>
                <c:pt idx="131">
                  <c:v>37278</c:v>
                </c:pt>
                <c:pt idx="132">
                  <c:v>37287</c:v>
                </c:pt>
                <c:pt idx="133">
                  <c:v>37288</c:v>
                </c:pt>
                <c:pt idx="134">
                  <c:v>37315</c:v>
                </c:pt>
                <c:pt idx="135">
                  <c:v>37346</c:v>
                </c:pt>
                <c:pt idx="136">
                  <c:v>37372</c:v>
                </c:pt>
                <c:pt idx="137">
                  <c:v>37376</c:v>
                </c:pt>
                <c:pt idx="138">
                  <c:v>37407</c:v>
                </c:pt>
                <c:pt idx="139">
                  <c:v>37437</c:v>
                </c:pt>
                <c:pt idx="140">
                  <c:v>37463</c:v>
                </c:pt>
                <c:pt idx="141">
                  <c:v>37468</c:v>
                </c:pt>
                <c:pt idx="142">
                  <c:v>37499</c:v>
                </c:pt>
                <c:pt idx="143">
                  <c:v>37529</c:v>
                </c:pt>
                <c:pt idx="144">
                  <c:v>37560</c:v>
                </c:pt>
                <c:pt idx="145">
                  <c:v>37561</c:v>
                </c:pt>
                <c:pt idx="146">
                  <c:v>37590</c:v>
                </c:pt>
                <c:pt idx="147">
                  <c:v>37621</c:v>
                </c:pt>
                <c:pt idx="148">
                  <c:v>37652</c:v>
                </c:pt>
                <c:pt idx="149">
                  <c:v>37652</c:v>
                </c:pt>
                <c:pt idx="150">
                  <c:v>37680</c:v>
                </c:pt>
                <c:pt idx="151">
                  <c:v>37711</c:v>
                </c:pt>
                <c:pt idx="152">
                  <c:v>37741</c:v>
                </c:pt>
                <c:pt idx="153">
                  <c:v>37772</c:v>
                </c:pt>
                <c:pt idx="154">
                  <c:v>37798</c:v>
                </c:pt>
                <c:pt idx="155">
                  <c:v>37802</c:v>
                </c:pt>
                <c:pt idx="156">
                  <c:v>37833</c:v>
                </c:pt>
                <c:pt idx="157">
                  <c:v>37834</c:v>
                </c:pt>
                <c:pt idx="158">
                  <c:v>37864</c:v>
                </c:pt>
                <c:pt idx="159">
                  <c:v>37894</c:v>
                </c:pt>
                <c:pt idx="160">
                  <c:v>37925</c:v>
                </c:pt>
                <c:pt idx="161">
                  <c:v>37955</c:v>
                </c:pt>
                <c:pt idx="162">
                  <c:v>37986</c:v>
                </c:pt>
                <c:pt idx="163">
                  <c:v>38017</c:v>
                </c:pt>
                <c:pt idx="164">
                  <c:v>38046</c:v>
                </c:pt>
                <c:pt idx="165">
                  <c:v>38077</c:v>
                </c:pt>
                <c:pt idx="166">
                  <c:v>38107</c:v>
                </c:pt>
                <c:pt idx="167">
                  <c:v>38138</c:v>
                </c:pt>
                <c:pt idx="168">
                  <c:v>38163</c:v>
                </c:pt>
                <c:pt idx="169">
                  <c:v>38168</c:v>
                </c:pt>
                <c:pt idx="170">
                  <c:v>38199</c:v>
                </c:pt>
                <c:pt idx="171">
                  <c:v>38226</c:v>
                </c:pt>
                <c:pt idx="172">
                  <c:v>38230</c:v>
                </c:pt>
                <c:pt idx="173">
                  <c:v>38260</c:v>
                </c:pt>
                <c:pt idx="174">
                  <c:v>38291</c:v>
                </c:pt>
                <c:pt idx="175">
                  <c:v>38321</c:v>
                </c:pt>
                <c:pt idx="176">
                  <c:v>38352</c:v>
                </c:pt>
                <c:pt idx="177">
                  <c:v>38380</c:v>
                </c:pt>
                <c:pt idx="178">
                  <c:v>38383</c:v>
                </c:pt>
                <c:pt idx="179">
                  <c:v>38411</c:v>
                </c:pt>
                <c:pt idx="180">
                  <c:v>38442</c:v>
                </c:pt>
                <c:pt idx="181">
                  <c:v>38443</c:v>
                </c:pt>
                <c:pt idx="182">
                  <c:v>38471</c:v>
                </c:pt>
                <c:pt idx="183">
                  <c:v>38472</c:v>
                </c:pt>
                <c:pt idx="184">
                  <c:v>38503</c:v>
                </c:pt>
                <c:pt idx="185">
                  <c:v>38533</c:v>
                </c:pt>
                <c:pt idx="186">
                  <c:v>38564</c:v>
                </c:pt>
                <c:pt idx="187">
                  <c:v>38595</c:v>
                </c:pt>
                <c:pt idx="188">
                  <c:v>38625</c:v>
                </c:pt>
                <c:pt idx="189">
                  <c:v>38656</c:v>
                </c:pt>
                <c:pt idx="190">
                  <c:v>38656</c:v>
                </c:pt>
                <c:pt idx="191">
                  <c:v>38686</c:v>
                </c:pt>
                <c:pt idx="192">
                  <c:v>38717</c:v>
                </c:pt>
                <c:pt idx="193">
                  <c:v>38748</c:v>
                </c:pt>
                <c:pt idx="194">
                  <c:v>38776</c:v>
                </c:pt>
                <c:pt idx="195">
                  <c:v>38807</c:v>
                </c:pt>
                <c:pt idx="196">
                  <c:v>38837</c:v>
                </c:pt>
                <c:pt idx="197">
                  <c:v>38868</c:v>
                </c:pt>
                <c:pt idx="198">
                  <c:v>38898</c:v>
                </c:pt>
                <c:pt idx="199">
                  <c:v>38926</c:v>
                </c:pt>
                <c:pt idx="200">
                  <c:v>38929</c:v>
                </c:pt>
                <c:pt idx="201">
                  <c:v>38960</c:v>
                </c:pt>
                <c:pt idx="202">
                  <c:v>38989</c:v>
                </c:pt>
                <c:pt idx="203">
                  <c:v>38990</c:v>
                </c:pt>
                <c:pt idx="204">
                  <c:v>39021</c:v>
                </c:pt>
                <c:pt idx="205">
                  <c:v>39051</c:v>
                </c:pt>
                <c:pt idx="206">
                  <c:v>39082</c:v>
                </c:pt>
                <c:pt idx="207">
                  <c:v>39113</c:v>
                </c:pt>
                <c:pt idx="208">
                  <c:v>39141</c:v>
                </c:pt>
                <c:pt idx="209">
                  <c:v>39172</c:v>
                </c:pt>
                <c:pt idx="210">
                  <c:v>39202</c:v>
                </c:pt>
                <c:pt idx="211">
                  <c:v>39233</c:v>
                </c:pt>
                <c:pt idx="212">
                  <c:v>39234</c:v>
                </c:pt>
                <c:pt idx="213">
                  <c:v>39263</c:v>
                </c:pt>
                <c:pt idx="214">
                  <c:v>39290</c:v>
                </c:pt>
                <c:pt idx="215">
                  <c:v>39294</c:v>
                </c:pt>
                <c:pt idx="216">
                  <c:v>39325</c:v>
                </c:pt>
                <c:pt idx="217">
                  <c:v>39325</c:v>
                </c:pt>
                <c:pt idx="218">
                  <c:v>39355</c:v>
                </c:pt>
                <c:pt idx="219">
                  <c:v>39386</c:v>
                </c:pt>
                <c:pt idx="220">
                  <c:v>39416</c:v>
                </c:pt>
                <c:pt idx="221">
                  <c:v>39416</c:v>
                </c:pt>
                <c:pt idx="222">
                  <c:v>39447</c:v>
                </c:pt>
                <c:pt idx="223">
                  <c:v>39478</c:v>
                </c:pt>
                <c:pt idx="224">
                  <c:v>39486</c:v>
                </c:pt>
                <c:pt idx="225">
                  <c:v>39507</c:v>
                </c:pt>
                <c:pt idx="226">
                  <c:v>39538</c:v>
                </c:pt>
                <c:pt idx="227">
                  <c:v>39568</c:v>
                </c:pt>
                <c:pt idx="228">
                  <c:v>39599</c:v>
                </c:pt>
                <c:pt idx="229">
                  <c:v>39629</c:v>
                </c:pt>
                <c:pt idx="230">
                  <c:v>39660</c:v>
                </c:pt>
                <c:pt idx="231">
                  <c:v>39668</c:v>
                </c:pt>
                <c:pt idx="232">
                  <c:v>39691</c:v>
                </c:pt>
                <c:pt idx="233">
                  <c:v>39721</c:v>
                </c:pt>
                <c:pt idx="234">
                  <c:v>39752</c:v>
                </c:pt>
                <c:pt idx="235">
                  <c:v>39759</c:v>
                </c:pt>
                <c:pt idx="236">
                  <c:v>39782</c:v>
                </c:pt>
                <c:pt idx="237">
                  <c:v>39800</c:v>
                </c:pt>
                <c:pt idx="238">
                  <c:v>39813</c:v>
                </c:pt>
                <c:pt idx="239">
                  <c:v>39844</c:v>
                </c:pt>
                <c:pt idx="240">
                  <c:v>39850</c:v>
                </c:pt>
                <c:pt idx="241">
                  <c:v>39872</c:v>
                </c:pt>
                <c:pt idx="242">
                  <c:v>39903</c:v>
                </c:pt>
                <c:pt idx="243">
                  <c:v>39933</c:v>
                </c:pt>
                <c:pt idx="244">
                  <c:v>39944</c:v>
                </c:pt>
                <c:pt idx="245">
                  <c:v>39964</c:v>
                </c:pt>
                <c:pt idx="246">
                  <c:v>39994</c:v>
                </c:pt>
                <c:pt idx="247">
                  <c:v>40025</c:v>
                </c:pt>
                <c:pt idx="248">
                  <c:v>40032</c:v>
                </c:pt>
                <c:pt idx="249">
                  <c:v>40056</c:v>
                </c:pt>
                <c:pt idx="250">
                  <c:v>40086</c:v>
                </c:pt>
                <c:pt idx="251">
                  <c:v>40117</c:v>
                </c:pt>
                <c:pt idx="252">
                  <c:v>40147</c:v>
                </c:pt>
                <c:pt idx="253">
                  <c:v>40178</c:v>
                </c:pt>
                <c:pt idx="254">
                  <c:v>40209</c:v>
                </c:pt>
                <c:pt idx="255">
                  <c:v>40237</c:v>
                </c:pt>
                <c:pt idx="256">
                  <c:v>40268</c:v>
                </c:pt>
                <c:pt idx="257">
                  <c:v>40298</c:v>
                </c:pt>
                <c:pt idx="258">
                  <c:v>40329</c:v>
                </c:pt>
                <c:pt idx="259">
                  <c:v>40359</c:v>
                </c:pt>
                <c:pt idx="260">
                  <c:v>40390</c:v>
                </c:pt>
                <c:pt idx="261">
                  <c:v>40421</c:v>
                </c:pt>
                <c:pt idx="262">
                  <c:v>40451</c:v>
                </c:pt>
                <c:pt idx="263">
                  <c:v>40482</c:v>
                </c:pt>
                <c:pt idx="264">
                  <c:v>40512</c:v>
                </c:pt>
                <c:pt idx="265">
                  <c:v>40543</c:v>
                </c:pt>
                <c:pt idx="266">
                  <c:v>40574</c:v>
                </c:pt>
                <c:pt idx="267">
                  <c:v>40602</c:v>
                </c:pt>
                <c:pt idx="268">
                  <c:v>40633</c:v>
                </c:pt>
                <c:pt idx="269">
                  <c:v>40663</c:v>
                </c:pt>
                <c:pt idx="270">
                  <c:v>40694</c:v>
                </c:pt>
                <c:pt idx="271">
                  <c:v>40724</c:v>
                </c:pt>
                <c:pt idx="272">
                  <c:v>40755</c:v>
                </c:pt>
                <c:pt idx="273">
                  <c:v>40786</c:v>
                </c:pt>
                <c:pt idx="274">
                  <c:v>40816</c:v>
                </c:pt>
                <c:pt idx="275">
                  <c:v>40847</c:v>
                </c:pt>
                <c:pt idx="276">
                  <c:v>40877</c:v>
                </c:pt>
                <c:pt idx="277">
                  <c:v>40908</c:v>
                </c:pt>
                <c:pt idx="278">
                  <c:v>40939</c:v>
                </c:pt>
                <c:pt idx="279">
                  <c:v>40968</c:v>
                </c:pt>
                <c:pt idx="280">
                  <c:v>40999</c:v>
                </c:pt>
                <c:pt idx="281">
                  <c:v>41029</c:v>
                </c:pt>
                <c:pt idx="282">
                  <c:v>41060</c:v>
                </c:pt>
                <c:pt idx="283">
                  <c:v>41090</c:v>
                </c:pt>
                <c:pt idx="284">
                  <c:v>41121</c:v>
                </c:pt>
                <c:pt idx="285">
                  <c:v>41152</c:v>
                </c:pt>
                <c:pt idx="286">
                  <c:v>41182</c:v>
                </c:pt>
                <c:pt idx="287">
                  <c:v>41183</c:v>
                </c:pt>
                <c:pt idx="288">
                  <c:v>41213</c:v>
                </c:pt>
                <c:pt idx="289">
                  <c:v>41215</c:v>
                </c:pt>
                <c:pt idx="290">
                  <c:v>41243</c:v>
                </c:pt>
                <c:pt idx="291">
                  <c:v>41274</c:v>
                </c:pt>
                <c:pt idx="292">
                  <c:v>41305</c:v>
                </c:pt>
                <c:pt idx="293">
                  <c:v>41333</c:v>
                </c:pt>
                <c:pt idx="294">
                  <c:v>41364</c:v>
                </c:pt>
                <c:pt idx="295">
                  <c:v>41394</c:v>
                </c:pt>
                <c:pt idx="296">
                  <c:v>41425</c:v>
                </c:pt>
                <c:pt idx="297">
                  <c:v>41455</c:v>
                </c:pt>
                <c:pt idx="298">
                  <c:v>41486</c:v>
                </c:pt>
                <c:pt idx="299">
                  <c:v>41517</c:v>
                </c:pt>
                <c:pt idx="300">
                  <c:v>41547</c:v>
                </c:pt>
                <c:pt idx="301">
                  <c:v>41578</c:v>
                </c:pt>
                <c:pt idx="302">
                  <c:v>41608</c:v>
                </c:pt>
                <c:pt idx="303">
                  <c:v>41639</c:v>
                </c:pt>
                <c:pt idx="304">
                  <c:v>41670</c:v>
                </c:pt>
                <c:pt idx="305">
                  <c:v>41698</c:v>
                </c:pt>
                <c:pt idx="306">
                  <c:v>41729</c:v>
                </c:pt>
                <c:pt idx="307">
                  <c:v>41759</c:v>
                </c:pt>
                <c:pt idx="308">
                  <c:v>41790</c:v>
                </c:pt>
                <c:pt idx="309">
                  <c:v>41820</c:v>
                </c:pt>
                <c:pt idx="310">
                  <c:v>41851</c:v>
                </c:pt>
                <c:pt idx="311">
                  <c:v>41882</c:v>
                </c:pt>
                <c:pt idx="312">
                  <c:v>41912</c:v>
                </c:pt>
                <c:pt idx="313">
                  <c:v>41943</c:v>
                </c:pt>
                <c:pt idx="314">
                  <c:v>41973</c:v>
                </c:pt>
                <c:pt idx="315">
                  <c:v>42004</c:v>
                </c:pt>
                <c:pt idx="316">
                  <c:v>42035</c:v>
                </c:pt>
                <c:pt idx="317">
                  <c:v>42063</c:v>
                </c:pt>
                <c:pt idx="318">
                  <c:v>42094</c:v>
                </c:pt>
                <c:pt idx="319">
                  <c:v>42124</c:v>
                </c:pt>
                <c:pt idx="320">
                  <c:v>42155</c:v>
                </c:pt>
                <c:pt idx="321">
                  <c:v>42185</c:v>
                </c:pt>
                <c:pt idx="322">
                  <c:v>42216</c:v>
                </c:pt>
                <c:pt idx="323">
                  <c:v>42247</c:v>
                </c:pt>
                <c:pt idx="324">
                  <c:v>42277</c:v>
                </c:pt>
                <c:pt idx="325">
                  <c:v>42308</c:v>
                </c:pt>
                <c:pt idx="326">
                  <c:v>42338</c:v>
                </c:pt>
                <c:pt idx="327">
                  <c:v>42369</c:v>
                </c:pt>
                <c:pt idx="328">
                  <c:v>42400</c:v>
                </c:pt>
                <c:pt idx="329">
                  <c:v>42429</c:v>
                </c:pt>
                <c:pt idx="330">
                  <c:v>42460</c:v>
                </c:pt>
                <c:pt idx="331">
                  <c:v>42490</c:v>
                </c:pt>
                <c:pt idx="332">
                  <c:v>42521</c:v>
                </c:pt>
                <c:pt idx="333">
                  <c:v>42551</c:v>
                </c:pt>
                <c:pt idx="334">
                  <c:v>42582</c:v>
                </c:pt>
                <c:pt idx="335">
                  <c:v>42613</c:v>
                </c:pt>
                <c:pt idx="336">
                  <c:v>42643</c:v>
                </c:pt>
                <c:pt idx="337">
                  <c:v>42674</c:v>
                </c:pt>
                <c:pt idx="338">
                  <c:v>42704</c:v>
                </c:pt>
                <c:pt idx="339">
                  <c:v>42735</c:v>
                </c:pt>
                <c:pt idx="340">
                  <c:v>42766</c:v>
                </c:pt>
                <c:pt idx="341">
                  <c:v>42794</c:v>
                </c:pt>
                <c:pt idx="342">
                  <c:v>42825</c:v>
                </c:pt>
              </c:numCache>
            </c:numRef>
          </c:xVal>
          <c:yVal>
            <c:numRef>
              <c:f>Diskont!$B$4:$B$346</c:f>
              <c:numCache>
                <c:formatCode>0.00</c:formatCode>
                <c:ptCount val="343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8.5</c:v>
                </c:pt>
                <c:pt idx="4">
                  <c:v>10</c:v>
                </c:pt>
                <c:pt idx="5">
                  <c:v>9.5</c:v>
                </c:pt>
                <c:pt idx="6">
                  <c:v>9</c:v>
                </c:pt>
                <c:pt idx="7">
                  <c:v>8</c:v>
                </c:pt>
                <c:pt idx="8">
                  <c:v>9.5</c:v>
                </c:pt>
                <c:pt idx="9">
                  <c:v>5.17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8</c:v>
                </c:pt>
                <c:pt idx="15">
                  <c:v>8.48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8.5</c:v>
                </c:pt>
                <c:pt idx="32">
                  <c:v>8.1300000000000008</c:v>
                </c:pt>
                <c:pt idx="33">
                  <c:v>8.5</c:v>
                </c:pt>
                <c:pt idx="34">
                  <c:v>8.5</c:v>
                </c:pt>
                <c:pt idx="35">
                  <c:v>8.5</c:v>
                </c:pt>
                <c:pt idx="36">
                  <c:v>8.5</c:v>
                </c:pt>
                <c:pt idx="37">
                  <c:v>8.5</c:v>
                </c:pt>
                <c:pt idx="38">
                  <c:v>8.5</c:v>
                </c:pt>
                <c:pt idx="39">
                  <c:v>8.5</c:v>
                </c:pt>
                <c:pt idx="40">
                  <c:v>9.5</c:v>
                </c:pt>
                <c:pt idx="41">
                  <c:v>8.73</c:v>
                </c:pt>
                <c:pt idx="42">
                  <c:v>9.5</c:v>
                </c:pt>
                <c:pt idx="43">
                  <c:v>9.5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9.5</c:v>
                </c:pt>
                <c:pt idx="48">
                  <c:v>9.5</c:v>
                </c:pt>
                <c:pt idx="49">
                  <c:v>9.5</c:v>
                </c:pt>
                <c:pt idx="50">
                  <c:v>9.5</c:v>
                </c:pt>
                <c:pt idx="51">
                  <c:v>9.5</c:v>
                </c:pt>
                <c:pt idx="52">
                  <c:v>9.5</c:v>
                </c:pt>
                <c:pt idx="53">
                  <c:v>10.5</c:v>
                </c:pt>
                <c:pt idx="54">
                  <c:v>9.8000000000000007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13</c:v>
                </c:pt>
                <c:pt idx="66">
                  <c:v>11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11.5</c:v>
                </c:pt>
                <c:pt idx="82">
                  <c:v>12.14</c:v>
                </c:pt>
                <c:pt idx="83">
                  <c:v>9.5</c:v>
                </c:pt>
                <c:pt idx="84">
                  <c:v>10</c:v>
                </c:pt>
                <c:pt idx="85">
                  <c:v>9.2899999999999991</c:v>
                </c:pt>
                <c:pt idx="86">
                  <c:v>10</c:v>
                </c:pt>
                <c:pt idx="87">
                  <c:v>7.5</c:v>
                </c:pt>
                <c:pt idx="88">
                  <c:v>9.4</c:v>
                </c:pt>
                <c:pt idx="89">
                  <c:v>7.5</c:v>
                </c:pt>
                <c:pt idx="90">
                  <c:v>7.5</c:v>
                </c:pt>
                <c:pt idx="91">
                  <c:v>6</c:v>
                </c:pt>
                <c:pt idx="92">
                  <c:v>6.59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5.5</c:v>
                </c:pt>
                <c:pt idx="99">
                  <c:v>5.55</c:v>
                </c:pt>
                <c:pt idx="100">
                  <c:v>5</c:v>
                </c:pt>
                <c:pt idx="101">
                  <c:v>5.45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4</c:v>
                </c:pt>
                <c:pt idx="118">
                  <c:v>4.8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4.25</c:v>
                </c:pt>
                <c:pt idx="124">
                  <c:v>4.4000000000000004</c:v>
                </c:pt>
                <c:pt idx="125">
                  <c:v>4.25</c:v>
                </c:pt>
                <c:pt idx="126">
                  <c:v>4.25</c:v>
                </c:pt>
                <c:pt idx="127">
                  <c:v>4.25</c:v>
                </c:pt>
                <c:pt idx="128">
                  <c:v>3.75</c:v>
                </c:pt>
                <c:pt idx="129">
                  <c:v>4.2300000000000004</c:v>
                </c:pt>
                <c:pt idx="130">
                  <c:v>3.75</c:v>
                </c:pt>
                <c:pt idx="131">
                  <c:v>3.5</c:v>
                </c:pt>
                <c:pt idx="132">
                  <c:v>3.66</c:v>
                </c:pt>
                <c:pt idx="133">
                  <c:v>3.25</c:v>
                </c:pt>
                <c:pt idx="134">
                  <c:v>3.25</c:v>
                </c:pt>
                <c:pt idx="135">
                  <c:v>3.25</c:v>
                </c:pt>
                <c:pt idx="136">
                  <c:v>2.75</c:v>
                </c:pt>
                <c:pt idx="137">
                  <c:v>3.18</c:v>
                </c:pt>
                <c:pt idx="138">
                  <c:v>2.75</c:v>
                </c:pt>
                <c:pt idx="139">
                  <c:v>2.75</c:v>
                </c:pt>
                <c:pt idx="140">
                  <c:v>2</c:v>
                </c:pt>
                <c:pt idx="141">
                  <c:v>2.61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1.75</c:v>
                </c:pt>
                <c:pt idx="146">
                  <c:v>1.75</c:v>
                </c:pt>
                <c:pt idx="147">
                  <c:v>1.75</c:v>
                </c:pt>
                <c:pt idx="148">
                  <c:v>1.5</c:v>
                </c:pt>
                <c:pt idx="149">
                  <c:v>1.74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1.25</c:v>
                </c:pt>
                <c:pt idx="155">
                  <c:v>1.46</c:v>
                </c:pt>
                <c:pt idx="156">
                  <c:v>1.25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1.25</c:v>
                </c:pt>
                <c:pt idx="169">
                  <c:v>1.5</c:v>
                </c:pt>
                <c:pt idx="170">
                  <c:v>1.25</c:v>
                </c:pt>
                <c:pt idx="171">
                  <c:v>1.5</c:v>
                </c:pt>
                <c:pt idx="172">
                  <c:v>1.28</c:v>
                </c:pt>
                <c:pt idx="173">
                  <c:v>1.5</c:v>
                </c:pt>
                <c:pt idx="174">
                  <c:v>1.5</c:v>
                </c:pt>
                <c:pt idx="175">
                  <c:v>1.5</c:v>
                </c:pt>
                <c:pt idx="176">
                  <c:v>1.5</c:v>
                </c:pt>
                <c:pt idx="177">
                  <c:v>1.25</c:v>
                </c:pt>
                <c:pt idx="178">
                  <c:v>1.48</c:v>
                </c:pt>
                <c:pt idx="179">
                  <c:v>1.25</c:v>
                </c:pt>
                <c:pt idx="180">
                  <c:v>1.25</c:v>
                </c:pt>
                <c:pt idx="181">
                  <c:v>1</c:v>
                </c:pt>
                <c:pt idx="182">
                  <c:v>0.75</c:v>
                </c:pt>
                <c:pt idx="183">
                  <c:v>0.99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1</c:v>
                </c:pt>
                <c:pt idx="190">
                  <c:v>0.76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1.25</c:v>
                </c:pt>
                <c:pt idx="200">
                  <c:v>1.3</c:v>
                </c:pt>
                <c:pt idx="201">
                  <c:v>1.25</c:v>
                </c:pt>
                <c:pt idx="202">
                  <c:v>1.5</c:v>
                </c:pt>
                <c:pt idx="203">
                  <c:v>1.26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1.75</c:v>
                </c:pt>
                <c:pt idx="213">
                  <c:v>1.75</c:v>
                </c:pt>
                <c:pt idx="214">
                  <c:v>2</c:v>
                </c:pt>
                <c:pt idx="215">
                  <c:v>1.79</c:v>
                </c:pt>
                <c:pt idx="216">
                  <c:v>2.25</c:v>
                </c:pt>
                <c:pt idx="217">
                  <c:v>2.1</c:v>
                </c:pt>
                <c:pt idx="218">
                  <c:v>2.25</c:v>
                </c:pt>
                <c:pt idx="219">
                  <c:v>2.25</c:v>
                </c:pt>
                <c:pt idx="220">
                  <c:v>2.5</c:v>
                </c:pt>
                <c:pt idx="221">
                  <c:v>2.2599999999999998</c:v>
                </c:pt>
                <c:pt idx="222">
                  <c:v>2.5</c:v>
                </c:pt>
                <c:pt idx="223">
                  <c:v>2.5</c:v>
                </c:pt>
                <c:pt idx="224">
                  <c:v>2.75</c:v>
                </c:pt>
                <c:pt idx="225">
                  <c:v>2.69</c:v>
                </c:pt>
                <c:pt idx="226">
                  <c:v>2.75</c:v>
                </c:pt>
                <c:pt idx="227">
                  <c:v>2.75</c:v>
                </c:pt>
                <c:pt idx="228">
                  <c:v>2.75</c:v>
                </c:pt>
                <c:pt idx="229">
                  <c:v>2.75</c:v>
                </c:pt>
                <c:pt idx="230">
                  <c:v>2.75</c:v>
                </c:pt>
                <c:pt idx="231">
                  <c:v>2.5</c:v>
                </c:pt>
                <c:pt idx="232">
                  <c:v>2.56</c:v>
                </c:pt>
                <c:pt idx="233">
                  <c:v>2.5</c:v>
                </c:pt>
                <c:pt idx="234">
                  <c:v>2.5</c:v>
                </c:pt>
                <c:pt idx="235">
                  <c:v>1.75</c:v>
                </c:pt>
                <c:pt idx="236">
                  <c:v>1.91</c:v>
                </c:pt>
                <c:pt idx="237">
                  <c:v>1.25</c:v>
                </c:pt>
                <c:pt idx="238">
                  <c:v>1.58</c:v>
                </c:pt>
                <c:pt idx="239">
                  <c:v>1.25</c:v>
                </c:pt>
                <c:pt idx="240">
                  <c:v>0.75</c:v>
                </c:pt>
                <c:pt idx="241">
                  <c:v>0.85</c:v>
                </c:pt>
                <c:pt idx="242">
                  <c:v>0.75</c:v>
                </c:pt>
                <c:pt idx="243">
                  <c:v>0.75</c:v>
                </c:pt>
                <c:pt idx="244">
                  <c:v>0.5</c:v>
                </c:pt>
                <c:pt idx="245">
                  <c:v>0.55000000000000004</c:v>
                </c:pt>
                <c:pt idx="246">
                  <c:v>0.5</c:v>
                </c:pt>
                <c:pt idx="247">
                  <c:v>0.5</c:v>
                </c:pt>
                <c:pt idx="248">
                  <c:v>0.25</c:v>
                </c:pt>
                <c:pt idx="249">
                  <c:v>0.3</c:v>
                </c:pt>
                <c:pt idx="250">
                  <c:v>0.25</c:v>
                </c:pt>
                <c:pt idx="251">
                  <c:v>0.25</c:v>
                </c:pt>
                <c:pt idx="252">
                  <c:v>0.25</c:v>
                </c:pt>
                <c:pt idx="253">
                  <c:v>0.25</c:v>
                </c:pt>
                <c:pt idx="254">
                  <c:v>0.25</c:v>
                </c:pt>
                <c:pt idx="255">
                  <c:v>0.25</c:v>
                </c:pt>
                <c:pt idx="256">
                  <c:v>0.25</c:v>
                </c:pt>
                <c:pt idx="257">
                  <c:v>0.25</c:v>
                </c:pt>
                <c:pt idx="258">
                  <c:v>0.25</c:v>
                </c:pt>
                <c:pt idx="259">
                  <c:v>0.25</c:v>
                </c:pt>
                <c:pt idx="260">
                  <c:v>0.25</c:v>
                </c:pt>
                <c:pt idx="261">
                  <c:v>0.25</c:v>
                </c:pt>
                <c:pt idx="262">
                  <c:v>0.25</c:v>
                </c:pt>
                <c:pt idx="263">
                  <c:v>0.25</c:v>
                </c:pt>
                <c:pt idx="264">
                  <c:v>0.25</c:v>
                </c:pt>
                <c:pt idx="265">
                  <c:v>0.25</c:v>
                </c:pt>
                <c:pt idx="266">
                  <c:v>0.25</c:v>
                </c:pt>
                <c:pt idx="267">
                  <c:v>0.25</c:v>
                </c:pt>
                <c:pt idx="268">
                  <c:v>0.25</c:v>
                </c:pt>
                <c:pt idx="269">
                  <c:v>0.25</c:v>
                </c:pt>
                <c:pt idx="270">
                  <c:v>0.25</c:v>
                </c:pt>
                <c:pt idx="271">
                  <c:v>0.25</c:v>
                </c:pt>
                <c:pt idx="272">
                  <c:v>0.25</c:v>
                </c:pt>
                <c:pt idx="273">
                  <c:v>0.25</c:v>
                </c:pt>
                <c:pt idx="274">
                  <c:v>0.25</c:v>
                </c:pt>
                <c:pt idx="275">
                  <c:v>0.25</c:v>
                </c:pt>
                <c:pt idx="276">
                  <c:v>0.25</c:v>
                </c:pt>
                <c:pt idx="277">
                  <c:v>0.25</c:v>
                </c:pt>
                <c:pt idx="278">
                  <c:v>0.25</c:v>
                </c:pt>
                <c:pt idx="279">
                  <c:v>0.25</c:v>
                </c:pt>
                <c:pt idx="280">
                  <c:v>0.25</c:v>
                </c:pt>
                <c:pt idx="281">
                  <c:v>0.25</c:v>
                </c:pt>
                <c:pt idx="282">
                  <c:v>0.25</c:v>
                </c:pt>
                <c:pt idx="283">
                  <c:v>0.25</c:v>
                </c:pt>
                <c:pt idx="284">
                  <c:v>0.25</c:v>
                </c:pt>
                <c:pt idx="285">
                  <c:v>0.25</c:v>
                </c:pt>
                <c:pt idx="286">
                  <c:v>0.25</c:v>
                </c:pt>
                <c:pt idx="287">
                  <c:v>0.1</c:v>
                </c:pt>
                <c:pt idx="288">
                  <c:v>0.1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0.05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0.05</c:v>
                </c:pt>
                <c:pt idx="324">
                  <c:v>0.05</c:v>
                </c:pt>
                <c:pt idx="325">
                  <c:v>0.05</c:v>
                </c:pt>
                <c:pt idx="326">
                  <c:v>0.05</c:v>
                </c:pt>
                <c:pt idx="327">
                  <c:v>0.05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0.05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52-46B4-9C1A-7AB0FB4D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38344"/>
        <c:axId val="261238736"/>
      </c:scatterChart>
      <c:valAx>
        <c:axId val="261238344"/>
        <c:scaling>
          <c:orientation val="minMax"/>
          <c:min val="3287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Platn</a:t>
                </a:r>
                <a:r>
                  <a:rPr lang="cs-CZ" sz="1600"/>
                  <a:t>á</a:t>
                </a:r>
                <a:r>
                  <a:rPr lang="cs-CZ" sz="1600" baseline="0"/>
                  <a:t> od:</a:t>
                </a:r>
                <a:endParaRPr lang="cs-CZ" sz="1600"/>
              </a:p>
            </c:rich>
          </c:tx>
          <c:layout>
            <c:manualLayout>
              <c:xMode val="edge"/>
              <c:yMode val="edge"/>
              <c:x val="9.3373831956509116E-3"/>
              <c:y val="0.77452183861632695"/>
            </c:manualLayout>
          </c:layout>
          <c:overlay val="0"/>
          <c:spPr>
            <a:solidFill>
              <a:sysClr val="window" lastClr="FFFFFF"/>
            </a:solidFill>
            <a:ln w="25400">
              <a:noFill/>
            </a:ln>
          </c:spPr>
        </c:title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61238736"/>
        <c:crosses val="autoZero"/>
        <c:crossBetween val="midCat"/>
        <c:majorUnit val="365.4"/>
      </c:valAx>
      <c:valAx>
        <c:axId val="2612387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%</a:t>
                </a:r>
                <a:endParaRPr lang="cs-CZ" sz="1600"/>
              </a:p>
            </c:rich>
          </c:tx>
          <c:layout>
            <c:manualLayout>
              <c:xMode val="edge"/>
              <c:yMode val="edge"/>
              <c:x val="1.5252589740778717E-2"/>
              <c:y val="0.39855665477712726"/>
            </c:manualLayout>
          </c:layout>
          <c:overlay val="0"/>
          <c:spPr>
            <a:solidFill>
              <a:sysClr val="window" lastClr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612383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/>
              <a:t>Saved Emission Cumulative</a:t>
            </a:r>
            <a:endParaRPr lang="en-US"/>
          </a:p>
        </c:rich>
      </c:tx>
      <c:layout>
        <c:manualLayout>
          <c:xMode val="edge"/>
          <c:yMode val="edge"/>
          <c:x val="0.40119185763944143"/>
          <c:y val="4.6500337495472471E-2"/>
        </c:manualLayout>
      </c:layout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596677198448533"/>
          <c:y val="1.290443967871272E-2"/>
          <c:w val="0.87615095487104233"/>
          <c:h val="0.97425224639200225"/>
        </c:manualLayout>
      </c:layout>
      <c:scatterChart>
        <c:scatterStyle val="lineMarker"/>
        <c:varyColors val="0"/>
        <c:ser>
          <c:idx val="2"/>
          <c:order val="0"/>
          <c:tx>
            <c:strRef>
              <c:f>'CF Data(on)'!$A$40</c:f>
              <c:strCache>
                <c:ptCount val="1"/>
                <c:pt idx="0">
                  <c:v>Saved emission cumulative (ton CO2)</c:v>
                </c:pt>
              </c:strCache>
            </c:strRef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'CF Data(on)'!$B$2:$AE$2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'CF Data(on)'!$B$40:$AE$40</c:f>
              <c:numCache>
                <c:formatCode>_(* #,##0.00_);_(* \(#,##0.00\);_(* "-"??_);_(@_)</c:formatCode>
                <c:ptCount val="30"/>
                <c:pt idx="0">
                  <c:v>114.64236</c:v>
                </c:pt>
                <c:pt idx="1">
                  <c:v>5761.948562999999</c:v>
                </c:pt>
                <c:pt idx="2">
                  <c:v>11538.757444199999</c:v>
                </c:pt>
                <c:pt idx="3">
                  <c:v>17041.733314199999</c:v>
                </c:pt>
                <c:pt idx="4">
                  <c:v>22537.792834199998</c:v>
                </c:pt>
                <c:pt idx="5">
                  <c:v>27988.826695199998</c:v>
                </c:pt>
                <c:pt idx="6">
                  <c:v>33382.481252399994</c:v>
                </c:pt>
                <c:pt idx="7">
                  <c:v>38718.756505799989</c:v>
                </c:pt>
                <c:pt idx="8">
                  <c:v>43997.652455399992</c:v>
                </c:pt>
                <c:pt idx="9">
                  <c:v>49219.169101199994</c:v>
                </c:pt>
                <c:pt idx="10">
                  <c:v>54383.306443199996</c:v>
                </c:pt>
                <c:pt idx="11">
                  <c:v>59490.064481399997</c:v>
                </c:pt>
                <c:pt idx="12">
                  <c:v>64539.443215799998</c:v>
                </c:pt>
                <c:pt idx="13">
                  <c:v>69531.442646399999</c:v>
                </c:pt>
                <c:pt idx="14">
                  <c:v>74466.062773199999</c:v>
                </c:pt>
                <c:pt idx="15">
                  <c:v>79343.303596199999</c:v>
                </c:pt>
                <c:pt idx="16">
                  <c:v>84163.165115399999</c:v>
                </c:pt>
                <c:pt idx="17">
                  <c:v>88925.647330799999</c:v>
                </c:pt>
                <c:pt idx="18">
                  <c:v>93630.750242399998</c:v>
                </c:pt>
                <c:pt idx="19">
                  <c:v>98278.473850199996</c:v>
                </c:pt>
                <c:pt idx="20">
                  <c:v>102868.81815419999</c:v>
                </c:pt>
                <c:pt idx="21">
                  <c:v>107401.78315439999</c:v>
                </c:pt>
                <c:pt idx="22">
                  <c:v>111877.36885079999</c:v>
                </c:pt>
                <c:pt idx="23">
                  <c:v>116295.57524339999</c:v>
                </c:pt>
                <c:pt idx="24">
                  <c:v>120656.40233219998</c:v>
                </c:pt>
                <c:pt idx="25">
                  <c:v>124959.85011719998</c:v>
                </c:pt>
                <c:pt idx="26">
                  <c:v>129205.91859839998</c:v>
                </c:pt>
                <c:pt idx="27">
                  <c:v>133394.60777579999</c:v>
                </c:pt>
                <c:pt idx="28">
                  <c:v>137525.91764939998</c:v>
                </c:pt>
                <c:pt idx="29">
                  <c:v>141599.84821919998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DF-40CB-AC15-CDE5EB64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39520"/>
        <c:axId val="261239912"/>
      </c:scatterChart>
      <c:valAx>
        <c:axId val="261239520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cs-CZ" sz="1400"/>
                  <a:t>Years</a:t>
                </a:r>
              </a:p>
            </c:rich>
          </c:tx>
          <c:layout>
            <c:manualLayout>
              <c:xMode val="edge"/>
              <c:yMode val="edge"/>
              <c:x val="0.5229817860101349"/>
              <c:y val="0.87936961802034486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239912"/>
        <c:crosses val="autoZero"/>
        <c:crossBetween val="midCat"/>
        <c:majorUnit val="5"/>
      </c:valAx>
      <c:valAx>
        <c:axId val="261239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cs-CZ" sz="1600" b="1" i="0" baseline="0">
                    <a:effectLst/>
                  </a:rPr>
                  <a:t>To</a:t>
                </a:r>
                <a:r>
                  <a:rPr lang="en-US" sz="1600" b="1" i="0" baseline="0">
                    <a:effectLst/>
                  </a:rPr>
                  <a:t>n</a:t>
                </a:r>
                <a:r>
                  <a:rPr lang="cs-CZ" sz="1600" b="1" i="0" baseline="0">
                    <a:effectLst/>
                  </a:rPr>
                  <a:t>s of</a:t>
                </a:r>
                <a:r>
                  <a:rPr lang="en-US" sz="1600" b="1" i="0" baseline="0">
                    <a:effectLst/>
                  </a:rPr>
                  <a:t> CO</a:t>
                </a:r>
                <a:r>
                  <a:rPr lang="en-US" sz="1600" b="1" i="0" baseline="-25000">
                    <a:effectLst/>
                  </a:rPr>
                  <a:t>2</a:t>
                </a:r>
                <a:endParaRPr lang="cs-CZ" sz="1600" baseline="-25000">
                  <a:effectLst/>
                </a:endParaRPr>
              </a:p>
            </c:rich>
          </c:tx>
          <c:layout/>
          <c:overlay val="0"/>
        </c:title>
        <c:numFmt formatCode="_(* #,##0_);_(* \(#,##0\);_(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239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7887817168497"/>
          <c:y val="0.22551452461720425"/>
          <c:w val="0.3841655964277389"/>
          <c:h val="9.131427907822557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On Grid Cash Flow</a:t>
            </a:r>
            <a:r>
              <a:rPr lang="cs-CZ"/>
              <a:t> - Home Tariff</a:t>
            </a:r>
            <a:endParaRPr lang="en-US"/>
          </a:p>
        </c:rich>
      </c:tx>
      <c:layout>
        <c:manualLayout>
          <c:xMode val="edge"/>
          <c:yMode val="edge"/>
          <c:x val="0.40119181482986527"/>
          <c:y val="1.9031476029997468E-2"/>
        </c:manualLayout>
      </c:layout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2578615486538715E-2"/>
          <c:y val="1.290443967871272E-2"/>
          <c:w val="0.91751674875571909"/>
          <c:h val="0.97425224639200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'CF Data(on)'!$A$4</c:f>
              <c:strCache>
                <c:ptCount val="1"/>
                <c:pt idx="0">
                  <c:v>Cash OUT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numRef>
              <c:f>'CF Data(on)'!$B$2:$AE$2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'CF Data(on)'!$B$4:$AE$4</c:f>
              <c:numCache>
                <c:formatCode>_-* #\ ##0\ [$Kč-405]_-;\-* #\ ##0\ [$Kč-405]_-;_-* "-"??\ [$Kč-405]_-;_-@_-</c:formatCode>
                <c:ptCount val="30"/>
                <c:pt idx="0">
                  <c:v>754700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B6-4646-AE15-857C0DAC936A}"/>
            </c:ext>
          </c:extLst>
        </c:ser>
        <c:ser>
          <c:idx val="1"/>
          <c:order val="1"/>
          <c:tx>
            <c:strRef>
              <c:f>'CF Data(on)'!$A$25</c:f>
              <c:strCache>
                <c:ptCount val="1"/>
                <c:pt idx="0">
                  <c:v>Cash IN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numRef>
              <c:f>'CF Data(on)'!$B$2:$AE$2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'CF Data(on)'!$B$25:$AE$25</c:f>
              <c:numCache>
                <c:formatCode>_-* #\ ##0\ [$Kč-405]_-;\-* #\ ##0\ [$Kč-405]_-;_-* "-"??\ [$Kč-405]_-;_-@_-</c:formatCode>
                <c:ptCount val="30"/>
                <c:pt idx="0">
                  <c:v>1756.3839462077012</c:v>
                </c:pt>
                <c:pt idx="1">
                  <c:v>82372.927823056292</c:v>
                </c:pt>
                <c:pt idx="2">
                  <c:v>96828.895277769465</c:v>
                </c:pt>
                <c:pt idx="3">
                  <c:v>71986.78897329059</c:v>
                </c:pt>
                <c:pt idx="4">
                  <c:v>94140.015123008459</c:v>
                </c:pt>
                <c:pt idx="5">
                  <c:v>97358.879815180087</c:v>
                </c:pt>
                <c:pt idx="6">
                  <c:v>100448.77971846495</c:v>
                </c:pt>
                <c:pt idx="7">
                  <c:v>103622.86935678698</c:v>
                </c:pt>
                <c:pt idx="8">
                  <c:v>106882.68634154001</c:v>
                </c:pt>
                <c:pt idx="9">
                  <c:v>110229.7485223143</c:v>
                </c:pt>
                <c:pt idx="10">
                  <c:v>113665.54972982114</c:v>
                </c:pt>
                <c:pt idx="11">
                  <c:v>117191.55520622812</c:v>
                </c:pt>
                <c:pt idx="12">
                  <c:v>120809.19670479339</c:v>
                </c:pt>
                <c:pt idx="13">
                  <c:v>124519.86723975471</c:v>
                </c:pt>
                <c:pt idx="14">
                  <c:v>128324.91546625897</c:v>
                </c:pt>
                <c:pt idx="15">
                  <c:v>132225.63966963155</c:v>
                </c:pt>
                <c:pt idx="16">
                  <c:v>136223.28134137075</c:v>
                </c:pt>
                <c:pt idx="17">
                  <c:v>140319.01831894429</c:v>
                </c:pt>
                <c:pt idx="18">
                  <c:v>144513.957464651</c:v>
                </c:pt>
                <c:pt idx="19">
                  <c:v>148809.12685812576</c:v>
                </c:pt>
                <c:pt idx="20">
                  <c:v>153205.4674751242</c:v>
                </c:pt>
                <c:pt idx="21">
                  <c:v>157703.82432443817</c:v>
                </c:pt>
                <c:pt idx="22">
                  <c:v>162304.93701318197</c:v>
                </c:pt>
                <c:pt idx="23">
                  <c:v>167009.42970880755</c:v>
                </c:pt>
                <c:pt idx="24">
                  <c:v>171817.80046541689</c:v>
                </c:pt>
                <c:pt idx="25">
                  <c:v>176730.40987962528</c:v>
                </c:pt>
                <c:pt idx="26">
                  <c:v>181747.46903951321</c:v>
                </c:pt>
                <c:pt idx="27">
                  <c:v>186869.02672941834</c:v>
                </c:pt>
                <c:pt idx="28">
                  <c:v>192094.95584956405</c:v>
                </c:pt>
                <c:pt idx="29">
                  <c:v>197424.93900960727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B6-4646-AE15-857C0DAC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241088"/>
        <c:axId val="261771264"/>
      </c:barChart>
      <c:scatterChart>
        <c:scatterStyle val="lineMarker"/>
        <c:varyColors val="0"/>
        <c:ser>
          <c:idx val="2"/>
          <c:order val="2"/>
          <c:tx>
            <c:strRef>
              <c:f>'CF Data(on)'!$A$35</c:f>
              <c:strCache>
                <c:ptCount val="1"/>
                <c:pt idx="0">
                  <c:v>Cumulative CF</c:v>
                </c:pt>
              </c:strCache>
            </c:strRef>
          </c:tx>
          <c:spPr>
            <a:ln w="381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'CF Data(on)'!$B$2:$AE$2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'CF Data(on)'!$B$35:$AE$35</c:f>
              <c:numCache>
                <c:formatCode>_-* #\ ##0\ [$Kč-405]_-;\-* #\ ##0\ [$Kč-405]_-;_-* "-"??\ [$Kč-405]_-;_-@_-</c:formatCode>
                <c:ptCount val="30"/>
                <c:pt idx="0">
                  <c:v>-752943.6160537923</c:v>
                </c:pt>
                <c:pt idx="1">
                  <c:v>-670570.68823073595</c:v>
                </c:pt>
                <c:pt idx="2">
                  <c:v>-573741.79295296653</c:v>
                </c:pt>
                <c:pt idx="3">
                  <c:v>-501755.00397967594</c:v>
                </c:pt>
                <c:pt idx="4">
                  <c:v>-407614.98885666748</c:v>
                </c:pt>
                <c:pt idx="5">
                  <c:v>-310256.10904148739</c:v>
                </c:pt>
                <c:pt idx="6">
                  <c:v>-209807.32932302245</c:v>
                </c:pt>
                <c:pt idx="7">
                  <c:v>-106184.45996623547</c:v>
                </c:pt>
                <c:pt idx="8">
                  <c:v>698.22637530454085</c:v>
                </c:pt>
                <c:pt idx="9">
                  <c:v>110927.97489761884</c:v>
                </c:pt>
                <c:pt idx="10">
                  <c:v>224593.52462743997</c:v>
                </c:pt>
                <c:pt idx="11">
                  <c:v>341785.07983366807</c:v>
                </c:pt>
                <c:pt idx="12">
                  <c:v>462594.27653846145</c:v>
                </c:pt>
                <c:pt idx="13">
                  <c:v>587114.14377821609</c:v>
                </c:pt>
                <c:pt idx="14">
                  <c:v>715439.05924447509</c:v>
                </c:pt>
                <c:pt idx="15">
                  <c:v>847664.6989141067</c:v>
                </c:pt>
                <c:pt idx="16">
                  <c:v>983887.98025547748</c:v>
                </c:pt>
                <c:pt idx="17">
                  <c:v>1124206.9985744217</c:v>
                </c:pt>
                <c:pt idx="18">
                  <c:v>1268720.9560390727</c:v>
                </c:pt>
                <c:pt idx="19">
                  <c:v>1417530.0828971984</c:v>
                </c:pt>
                <c:pt idx="20">
                  <c:v>1570735.5503723226</c:v>
                </c:pt>
                <c:pt idx="21">
                  <c:v>1728439.3746967607</c:v>
                </c:pt>
                <c:pt idx="22">
                  <c:v>1890744.3117099428</c:v>
                </c:pt>
                <c:pt idx="23">
                  <c:v>2057753.7414187503</c:v>
                </c:pt>
                <c:pt idx="24">
                  <c:v>2229571.5418841671</c:v>
                </c:pt>
                <c:pt idx="25">
                  <c:v>2406301.9517637924</c:v>
                </c:pt>
                <c:pt idx="26">
                  <c:v>2588049.4208033057</c:v>
                </c:pt>
                <c:pt idx="27">
                  <c:v>2774918.4475327241</c:v>
                </c:pt>
                <c:pt idx="28">
                  <c:v>2967013.4033822883</c:v>
                </c:pt>
                <c:pt idx="29">
                  <c:v>3164438.3423918956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7B6-4646-AE15-857C0DAC936A}"/>
            </c:ext>
          </c:extLst>
        </c:ser>
        <c:ser>
          <c:idx val="3"/>
          <c:order val="3"/>
          <c:tx>
            <c:strRef>
              <c:f>'CF Data(on)'!$A$37</c:f>
              <c:strCache>
                <c:ptCount val="1"/>
                <c:pt idx="0">
                  <c:v>Discounted Cumulative CF (NPV)</c:v>
                </c:pt>
              </c:strCache>
            </c:strRef>
          </c:tx>
          <c:spPr>
            <a:ln w="38100" cap="flat" cmpd="sng" algn="ctr">
              <a:solidFill>
                <a:schemeClr val="accent2">
                  <a:lumMod val="60000"/>
                  <a:lumOff val="40000"/>
                </a:schemeClr>
              </a:solidFill>
              <a:prstDash val="solid"/>
            </a:ln>
            <a:effectLst/>
          </c:spPr>
          <c:marker>
            <c:spPr>
              <a:noFill/>
              <a:ln w="25400" cap="flat" cmpd="sng" algn="ctr">
                <a:solidFill>
                  <a:schemeClr val="accent2"/>
                </a:solidFill>
                <a:prstDash val="solid"/>
              </a:ln>
              <a:effectLst/>
            </c:spPr>
          </c:marker>
          <c:xVal>
            <c:numRef>
              <c:f>'CF Data(on)'!$B$2:$AE$2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'CF Data(on)'!$B$37:$AE$37</c:f>
              <c:numCache>
                <c:formatCode>_-* #\ ##0\ [$Kč-405]_-;\-* #\ ##0\ [$Kč-405]_-;_-* "-"??\ [$Kč-405]_-;_-@_-</c:formatCode>
                <c:ptCount val="30"/>
                <c:pt idx="0">
                  <c:v>-745488.72876613098</c:v>
                </c:pt>
                <c:pt idx="1">
                  <c:v>-664738.87304310745</c:v>
                </c:pt>
                <c:pt idx="2">
                  <c:v>-570757.70125178678</c:v>
                </c:pt>
                <c:pt idx="3">
                  <c:v>-501579.81198602216</c:v>
                </c:pt>
                <c:pt idx="4">
                  <c:v>-412008.81776569918</c:v>
                </c:pt>
                <c:pt idx="5">
                  <c:v>-320292.34892612183</c:v>
                </c:pt>
                <c:pt idx="6">
                  <c:v>-226601.95850940963</c:v>
                </c:pt>
                <c:pt idx="7">
                  <c:v>-130907.97719294035</c:v>
                </c:pt>
                <c:pt idx="8">
                  <c:v>-33180.880549126916</c:v>
                </c:pt>
                <c:pt idx="9">
                  <c:v>66608.672807212351</c:v>
                </c:pt>
                <c:pt idx="10">
                  <c:v>168489.8008947506</c:v>
                </c:pt>
                <c:pt idx="11">
                  <c:v>272491.35577013623</c:v>
                </c:pt>
                <c:pt idx="12">
                  <c:v>378641.87856278417</c:v>
                </c:pt>
                <c:pt idx="13">
                  <c:v>486969.55203797296</c:v>
                </c:pt>
                <c:pt idx="14">
                  <c:v>597502.15058223123</c:v>
                </c:pt>
                <c:pt idx="15">
                  <c:v>710266.98750132392</c:v>
                </c:pt>
                <c:pt idx="16">
                  <c:v>825290.85951660492</c:v>
                </c:pt>
                <c:pt idx="17">
                  <c:v>942599.98834153695</c:v>
                </c:pt>
                <c:pt idx="18">
                  <c:v>1062219.9592155179</c:v>
                </c:pt>
                <c:pt idx="19">
                  <c:v>1184175.656267816</c:v>
                </c:pt>
                <c:pt idx="20">
                  <c:v>1308491.1945793787</c:v>
                </c:pt>
                <c:pt idx="21">
                  <c:v>1435189.8488055698</c:v>
                </c:pt>
                <c:pt idx="22">
                  <c:v>1564293.9782178449</c:v>
                </c:pt>
                <c:pt idx="23">
                  <c:v>1695824.9480168545</c:v>
                </c:pt>
                <c:pt idx="24">
                  <c:v>1829803.0467643891</c:v>
                </c:pt>
                <c:pt idx="25">
                  <c:v>1966247.399775764</c:v>
                </c:pt>
                <c:pt idx="26">
                  <c:v>2105175.8783082627</c:v>
                </c:pt>
                <c:pt idx="27">
                  <c:v>2246605.0043758508</c:v>
                </c:pt>
                <c:pt idx="28">
                  <c:v>2390549.8510133093</c:v>
                </c:pt>
                <c:pt idx="29">
                  <c:v>2537023.9378072619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7B6-4646-AE15-857C0DAC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41088"/>
        <c:axId val="261771264"/>
      </c:scatterChart>
      <c:catAx>
        <c:axId val="261241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cs-CZ" sz="1400"/>
                  <a:t>Years</a:t>
                </a:r>
              </a:p>
            </c:rich>
          </c:tx>
          <c:layout>
            <c:manualLayout>
              <c:xMode val="edge"/>
              <c:yMode val="edge"/>
              <c:x val="0.51619395307986082"/>
              <c:y val="0.92780403296519931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771264"/>
        <c:crosses val="autoZero"/>
        <c:auto val="1"/>
        <c:lblAlgn val="ctr"/>
        <c:lblOffset val="100"/>
        <c:noMultiLvlLbl val="0"/>
      </c:catAx>
      <c:valAx>
        <c:axId val="2617712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CZK</a:t>
                </a:r>
              </a:p>
            </c:rich>
          </c:tx>
          <c:layout>
            <c:manualLayout>
              <c:xMode val="edge"/>
              <c:yMode val="edge"/>
              <c:x val="2.5925050368162485E-2"/>
              <c:y val="0.473378438054498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cs-CZ"/>
          </a:p>
        </c:txPr>
        <c:crossAx val="26124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65479913119926"/>
          <c:y val="0.11574299669005148"/>
          <c:w val="0.34721760484094016"/>
          <c:h val="0.285563831350178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cs-CZ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  <a:r>
              <a:rPr lang="cs-CZ"/>
              <a:t>reak Even Point</a:t>
            </a:r>
            <a:r>
              <a:rPr lang="en-US"/>
              <a:t> </a:t>
            </a:r>
            <a:r>
              <a:rPr lang="cs-CZ"/>
              <a:t>On</a:t>
            </a:r>
            <a:r>
              <a:rPr lang="en-US"/>
              <a:t> Grid</a:t>
            </a:r>
          </a:p>
        </c:rich>
      </c:tx>
      <c:layout>
        <c:manualLayout>
          <c:xMode val="edge"/>
          <c:yMode val="edge"/>
          <c:x val="0.59641159872080851"/>
          <c:y val="6.1376768537178238E-2"/>
        </c:manualLayout>
      </c:layout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279010752688172E-2"/>
          <c:y val="3.1396298273072221E-2"/>
          <c:w val="0.88670258064516128"/>
          <c:h val="0.93720740345385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'BEP(on)'!$I$6</c:f>
              <c:strCache>
                <c:ptCount val="1"/>
                <c:pt idx="0">
                  <c:v>Profit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'BEP(on)'!$B$9:$B$38</c:f>
              <c:numCache>
                <c:formatCode>#,##0</c:formatCode>
                <c:ptCount val="30"/>
                <c:pt idx="0">
                  <c:v>389.94</c:v>
                </c:pt>
                <c:pt idx="1">
                  <c:v>19598.464499999998</c:v>
                </c:pt>
                <c:pt idx="2">
                  <c:v>39247.474300000002</c:v>
                </c:pt>
                <c:pt idx="3">
                  <c:v>57965.079299999998</c:v>
                </c:pt>
                <c:pt idx="4">
                  <c:v>76659.159299999999</c:v>
                </c:pt>
                <c:pt idx="5">
                  <c:v>95200.090800000005</c:v>
                </c:pt>
                <c:pt idx="6">
                  <c:v>113545.85460000001</c:v>
                </c:pt>
                <c:pt idx="7">
                  <c:v>131696.45069999999</c:v>
                </c:pt>
                <c:pt idx="8">
                  <c:v>149651.87909999999</c:v>
                </c:pt>
                <c:pt idx="9">
                  <c:v>167412.1398</c:v>
                </c:pt>
                <c:pt idx="10">
                  <c:v>184977.2328</c:v>
                </c:pt>
                <c:pt idx="11">
                  <c:v>202347.1581</c:v>
                </c:pt>
                <c:pt idx="12">
                  <c:v>219521.91570000001</c:v>
                </c:pt>
                <c:pt idx="13">
                  <c:v>236501.5056</c:v>
                </c:pt>
                <c:pt idx="14">
                  <c:v>253285.9278</c:v>
                </c:pt>
                <c:pt idx="15">
                  <c:v>269875.18229999999</c:v>
                </c:pt>
                <c:pt idx="16">
                  <c:v>286269.26909999998</c:v>
                </c:pt>
                <c:pt idx="17">
                  <c:v>302468.18819999998</c:v>
                </c:pt>
                <c:pt idx="18">
                  <c:v>318471.93959999998</c:v>
                </c:pt>
                <c:pt idx="19">
                  <c:v>334280.5233</c:v>
                </c:pt>
                <c:pt idx="20">
                  <c:v>349893.93929999997</c:v>
                </c:pt>
                <c:pt idx="21">
                  <c:v>365312.18759999995</c:v>
                </c:pt>
                <c:pt idx="22">
                  <c:v>380535.26819999993</c:v>
                </c:pt>
                <c:pt idx="23">
                  <c:v>395563.18109999993</c:v>
                </c:pt>
                <c:pt idx="24">
                  <c:v>410395.92629999993</c:v>
                </c:pt>
                <c:pt idx="25">
                  <c:v>425033.50379999995</c:v>
                </c:pt>
                <c:pt idx="26">
                  <c:v>439475.91359999997</c:v>
                </c:pt>
                <c:pt idx="27">
                  <c:v>453723.15569999994</c:v>
                </c:pt>
                <c:pt idx="28">
                  <c:v>467775.23009999993</c:v>
                </c:pt>
                <c:pt idx="29">
                  <c:v>481632.13679999992</c:v>
                </c:pt>
              </c:numCache>
            </c:numRef>
          </c:xVal>
          <c:yVal>
            <c:numRef>
              <c:f>'BEP(on)'!$I$9:$I$38</c:f>
              <c:numCache>
                <c:formatCode>#\ ##0\ "Kč"</c:formatCode>
                <c:ptCount val="30"/>
                <c:pt idx="0">
                  <c:v>-752943.6160537923</c:v>
                </c:pt>
                <c:pt idx="1">
                  <c:v>-670654.87192672025</c:v>
                </c:pt>
                <c:pt idx="2">
                  <c:v>-561291.29301713477</c:v>
                </c:pt>
                <c:pt idx="3">
                  <c:v>-531769.77300839743</c:v>
                </c:pt>
                <c:pt idx="4">
                  <c:v>-368658.30039140122</c:v>
                </c:pt>
                <c:pt idx="5">
                  <c:v>-254802.02030079055</c:v>
                </c:pt>
                <c:pt idx="6">
                  <c:v>-133001.02572996973</c:v>
                </c:pt>
                <c:pt idx="7">
                  <c:v>-2836.8639105665497</c:v>
                </c:pt>
                <c:pt idx="8">
                  <c:v>136127.80415684043</c:v>
                </c:pt>
                <c:pt idx="9">
                  <c:v>284349.95435886399</c:v>
                </c:pt>
                <c:pt idx="10">
                  <c:v>442306.97592168208</c:v>
                </c:pt>
                <c:pt idx="11">
                  <c:v>610497.47435525968</c:v>
                </c:pt>
                <c:pt idx="12">
                  <c:v>789442.10159300175</c:v>
                </c:pt>
                <c:pt idx="13">
                  <c:v>979684.41403782694</c:v>
                </c:pt>
                <c:pt idx="14">
                  <c:v>1181791.7592294586</c:v>
                </c:pt>
                <c:pt idx="15">
                  <c:v>1396356.1918605766</c:v>
                </c:pt>
                <c:pt idx="16">
                  <c:v>1623995.4198630862</c:v>
                </c:pt>
                <c:pt idx="17">
                  <c:v>1865353.7813003641</c:v>
                </c:pt>
                <c:pt idx="18">
                  <c:v>2121103.2527947985</c:v>
                </c:pt>
                <c:pt idx="19">
                  <c:v>2391944.4902303531</c:v>
                </c:pt>
                <c:pt idx="20">
                  <c:v>2678607.9024583241</c:v>
                </c:pt>
                <c:pt idx="21">
                  <c:v>2981854.7587430277</c:v>
                </c:pt>
                <c:pt idx="22">
                  <c:v>3302478.3306787005</c:v>
                </c:pt>
                <c:pt idx="23">
                  <c:v>3641305.0692942701</c:v>
                </c:pt>
                <c:pt idx="24">
                  <c:v>3999195.8180737402</c:v>
                </c:pt>
                <c:pt idx="25">
                  <c:v>4377047.0625960669</c:v>
                </c:pt>
                <c:pt idx="26">
                  <c:v>4775792.21748491</c:v>
                </c:pt>
                <c:pt idx="27">
                  <c:v>5196402.951374663</c:v>
                </c:pt>
                <c:pt idx="28">
                  <c:v>5639890.5505296187</c:v>
                </c:pt>
                <c:pt idx="29">
                  <c:v>6107307.3217933141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05-453B-8B3D-91C6FF220557}"/>
            </c:ext>
          </c:extLst>
        </c:ser>
        <c:ser>
          <c:idx val="1"/>
          <c:order val="1"/>
          <c:tx>
            <c:strRef>
              <c:f>'BEP(on)'!$H$6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>
              <a:solidFill>
                <a:schemeClr val="accent3">
                  <a:lumMod val="75000"/>
                </a:schemeClr>
              </a:solidFill>
            </a:ln>
          </c:spPr>
          <c:marker>
            <c:symbol val="x"/>
            <c:size val="5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'BEP(on)'!$B$9:$B$38</c:f>
              <c:numCache>
                <c:formatCode>#,##0</c:formatCode>
                <c:ptCount val="30"/>
                <c:pt idx="0">
                  <c:v>389.94</c:v>
                </c:pt>
                <c:pt idx="1">
                  <c:v>19598.464499999998</c:v>
                </c:pt>
                <c:pt idx="2">
                  <c:v>39247.474300000002</c:v>
                </c:pt>
                <c:pt idx="3">
                  <c:v>57965.079299999998</c:v>
                </c:pt>
                <c:pt idx="4">
                  <c:v>76659.159299999999</c:v>
                </c:pt>
                <c:pt idx="5">
                  <c:v>95200.090800000005</c:v>
                </c:pt>
                <c:pt idx="6">
                  <c:v>113545.85460000001</c:v>
                </c:pt>
                <c:pt idx="7">
                  <c:v>131696.45069999999</c:v>
                </c:pt>
                <c:pt idx="8">
                  <c:v>149651.87909999999</c:v>
                </c:pt>
                <c:pt idx="9">
                  <c:v>167412.1398</c:v>
                </c:pt>
                <c:pt idx="10">
                  <c:v>184977.2328</c:v>
                </c:pt>
                <c:pt idx="11">
                  <c:v>202347.1581</c:v>
                </c:pt>
                <c:pt idx="12">
                  <c:v>219521.91570000001</c:v>
                </c:pt>
                <c:pt idx="13">
                  <c:v>236501.5056</c:v>
                </c:pt>
                <c:pt idx="14">
                  <c:v>253285.9278</c:v>
                </c:pt>
                <c:pt idx="15">
                  <c:v>269875.18229999999</c:v>
                </c:pt>
                <c:pt idx="16">
                  <c:v>286269.26909999998</c:v>
                </c:pt>
                <c:pt idx="17">
                  <c:v>302468.18819999998</c:v>
                </c:pt>
                <c:pt idx="18">
                  <c:v>318471.93959999998</c:v>
                </c:pt>
                <c:pt idx="19">
                  <c:v>334280.5233</c:v>
                </c:pt>
                <c:pt idx="20">
                  <c:v>349893.93929999997</c:v>
                </c:pt>
                <c:pt idx="21">
                  <c:v>365312.18759999995</c:v>
                </c:pt>
                <c:pt idx="22">
                  <c:v>380535.26819999993</c:v>
                </c:pt>
                <c:pt idx="23">
                  <c:v>395563.18109999993</c:v>
                </c:pt>
                <c:pt idx="24">
                  <c:v>410395.92629999993</c:v>
                </c:pt>
                <c:pt idx="25">
                  <c:v>425033.50379999995</c:v>
                </c:pt>
                <c:pt idx="26">
                  <c:v>439475.91359999997</c:v>
                </c:pt>
                <c:pt idx="27">
                  <c:v>453723.15569999994</c:v>
                </c:pt>
                <c:pt idx="28">
                  <c:v>467775.23009999993</c:v>
                </c:pt>
                <c:pt idx="29">
                  <c:v>481632.13679999992</c:v>
                </c:pt>
              </c:numCache>
            </c:numRef>
          </c:xVal>
          <c:yVal>
            <c:numRef>
              <c:f>'BEP(on)'!$H$9:$H$38</c:f>
              <c:numCache>
                <c:formatCode>#\ ##0\ "Kč"</c:formatCode>
                <c:ptCount val="30"/>
                <c:pt idx="0">
                  <c:v>1756.3839462077012</c:v>
                </c:pt>
                <c:pt idx="1">
                  <c:v>84045.128073279702</c:v>
                </c:pt>
                <c:pt idx="2">
                  <c:v>193408.70698286529</c:v>
                </c:pt>
                <c:pt idx="3">
                  <c:v>222930.22699160254</c:v>
                </c:pt>
                <c:pt idx="4">
                  <c:v>386041.69960859878</c:v>
                </c:pt>
                <c:pt idx="5">
                  <c:v>499897.97969920945</c:v>
                </c:pt>
                <c:pt idx="6">
                  <c:v>621698.97427003027</c:v>
                </c:pt>
                <c:pt idx="7">
                  <c:v>751863.13608943345</c:v>
                </c:pt>
                <c:pt idx="8">
                  <c:v>890827.80415684043</c:v>
                </c:pt>
                <c:pt idx="9">
                  <c:v>1039049.954358864</c:v>
                </c:pt>
                <c:pt idx="10">
                  <c:v>1197006.9759216821</c:v>
                </c:pt>
                <c:pt idx="11">
                  <c:v>1365197.4743552597</c:v>
                </c:pt>
                <c:pt idx="12">
                  <c:v>1544142.1015930017</c:v>
                </c:pt>
                <c:pt idx="13">
                  <c:v>1734384.4140378269</c:v>
                </c:pt>
                <c:pt idx="14">
                  <c:v>1936491.7592294586</c:v>
                </c:pt>
                <c:pt idx="15">
                  <c:v>2151056.1918605766</c:v>
                </c:pt>
                <c:pt idx="16">
                  <c:v>2378695.4198630862</c:v>
                </c:pt>
                <c:pt idx="17">
                  <c:v>2620053.7813003641</c:v>
                </c:pt>
                <c:pt idx="18">
                  <c:v>2875803.2527947985</c:v>
                </c:pt>
                <c:pt idx="19">
                  <c:v>3146644.4902303531</c:v>
                </c:pt>
                <c:pt idx="20">
                  <c:v>3433307.9024583241</c:v>
                </c:pt>
                <c:pt idx="21">
                  <c:v>3736554.7587430277</c:v>
                </c:pt>
                <c:pt idx="22">
                  <c:v>4057178.3306787005</c:v>
                </c:pt>
                <c:pt idx="23">
                  <c:v>4396005.0692942701</c:v>
                </c:pt>
                <c:pt idx="24">
                  <c:v>4753895.8180737402</c:v>
                </c:pt>
                <c:pt idx="25">
                  <c:v>5131747.0625960669</c:v>
                </c:pt>
                <c:pt idx="26">
                  <c:v>5530492.21748491</c:v>
                </c:pt>
                <c:pt idx="27">
                  <c:v>5951102.951374663</c:v>
                </c:pt>
                <c:pt idx="28">
                  <c:v>6394590.5505296187</c:v>
                </c:pt>
                <c:pt idx="29">
                  <c:v>6862007.3217933141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5-453B-8B3D-91C6FF220557}"/>
            </c:ext>
          </c:extLst>
        </c:ser>
        <c:ser>
          <c:idx val="2"/>
          <c:order val="2"/>
          <c:tx>
            <c:strRef>
              <c:f>'BEP(on)'!$F$6</c:f>
              <c:strCache>
                <c:ptCount val="1"/>
                <c:pt idx="0">
                  <c:v>Total costs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'BEP(on)'!$B$9:$B$38</c:f>
              <c:numCache>
                <c:formatCode>#,##0</c:formatCode>
                <c:ptCount val="30"/>
                <c:pt idx="0">
                  <c:v>389.94</c:v>
                </c:pt>
                <c:pt idx="1">
                  <c:v>19598.464499999998</c:v>
                </c:pt>
                <c:pt idx="2">
                  <c:v>39247.474300000002</c:v>
                </c:pt>
                <c:pt idx="3">
                  <c:v>57965.079299999998</c:v>
                </c:pt>
                <c:pt idx="4">
                  <c:v>76659.159299999999</c:v>
                </c:pt>
                <c:pt idx="5">
                  <c:v>95200.090800000005</c:v>
                </c:pt>
                <c:pt idx="6">
                  <c:v>113545.85460000001</c:v>
                </c:pt>
                <c:pt idx="7">
                  <c:v>131696.45069999999</c:v>
                </c:pt>
                <c:pt idx="8">
                  <c:v>149651.87909999999</c:v>
                </c:pt>
                <c:pt idx="9">
                  <c:v>167412.1398</c:v>
                </c:pt>
                <c:pt idx="10">
                  <c:v>184977.2328</c:v>
                </c:pt>
                <c:pt idx="11">
                  <c:v>202347.1581</c:v>
                </c:pt>
                <c:pt idx="12">
                  <c:v>219521.91570000001</c:v>
                </c:pt>
                <c:pt idx="13">
                  <c:v>236501.5056</c:v>
                </c:pt>
                <c:pt idx="14">
                  <c:v>253285.9278</c:v>
                </c:pt>
                <c:pt idx="15">
                  <c:v>269875.18229999999</c:v>
                </c:pt>
                <c:pt idx="16">
                  <c:v>286269.26909999998</c:v>
                </c:pt>
                <c:pt idx="17">
                  <c:v>302468.18819999998</c:v>
                </c:pt>
                <c:pt idx="18">
                  <c:v>318471.93959999998</c:v>
                </c:pt>
                <c:pt idx="19">
                  <c:v>334280.5233</c:v>
                </c:pt>
                <c:pt idx="20">
                  <c:v>349893.93929999997</c:v>
                </c:pt>
                <c:pt idx="21">
                  <c:v>365312.18759999995</c:v>
                </c:pt>
                <c:pt idx="22">
                  <c:v>380535.26819999993</c:v>
                </c:pt>
                <c:pt idx="23">
                  <c:v>395563.18109999993</c:v>
                </c:pt>
                <c:pt idx="24">
                  <c:v>410395.92629999993</c:v>
                </c:pt>
                <c:pt idx="25">
                  <c:v>425033.50379999995</c:v>
                </c:pt>
                <c:pt idx="26">
                  <c:v>439475.91359999997</c:v>
                </c:pt>
                <c:pt idx="27">
                  <c:v>453723.15569999994</c:v>
                </c:pt>
                <c:pt idx="28">
                  <c:v>467775.23009999993</c:v>
                </c:pt>
                <c:pt idx="29">
                  <c:v>481632.13679999992</c:v>
                </c:pt>
              </c:numCache>
            </c:numRef>
          </c:xVal>
          <c:yVal>
            <c:numRef>
              <c:f>'BEP(on)'!$F$9:$F$38</c:f>
              <c:numCache>
                <c:formatCode>#\ ##0\ "Kč"</c:formatCode>
                <c:ptCount val="30"/>
                <c:pt idx="0">
                  <c:v>754700</c:v>
                </c:pt>
                <c:pt idx="1">
                  <c:v>754700</c:v>
                </c:pt>
                <c:pt idx="2">
                  <c:v>754700</c:v>
                </c:pt>
                <c:pt idx="3">
                  <c:v>754700</c:v>
                </c:pt>
                <c:pt idx="4">
                  <c:v>754700</c:v>
                </c:pt>
                <c:pt idx="5">
                  <c:v>754700</c:v>
                </c:pt>
                <c:pt idx="6">
                  <c:v>754700</c:v>
                </c:pt>
                <c:pt idx="7">
                  <c:v>754700</c:v>
                </c:pt>
                <c:pt idx="8">
                  <c:v>754700</c:v>
                </c:pt>
                <c:pt idx="9">
                  <c:v>754700</c:v>
                </c:pt>
                <c:pt idx="10">
                  <c:v>754700</c:v>
                </c:pt>
                <c:pt idx="11">
                  <c:v>754700</c:v>
                </c:pt>
                <c:pt idx="12">
                  <c:v>754700</c:v>
                </c:pt>
                <c:pt idx="13">
                  <c:v>754700</c:v>
                </c:pt>
                <c:pt idx="14">
                  <c:v>754700</c:v>
                </c:pt>
                <c:pt idx="15">
                  <c:v>754700</c:v>
                </c:pt>
                <c:pt idx="16">
                  <c:v>754700</c:v>
                </c:pt>
                <c:pt idx="17">
                  <c:v>754700</c:v>
                </c:pt>
                <c:pt idx="18">
                  <c:v>754700</c:v>
                </c:pt>
                <c:pt idx="19">
                  <c:v>754700</c:v>
                </c:pt>
                <c:pt idx="20">
                  <c:v>754700</c:v>
                </c:pt>
                <c:pt idx="21">
                  <c:v>754700</c:v>
                </c:pt>
                <c:pt idx="22">
                  <c:v>754700</c:v>
                </c:pt>
                <c:pt idx="23">
                  <c:v>754700</c:v>
                </c:pt>
                <c:pt idx="24">
                  <c:v>754700</c:v>
                </c:pt>
                <c:pt idx="25">
                  <c:v>754700</c:v>
                </c:pt>
                <c:pt idx="26">
                  <c:v>754700</c:v>
                </c:pt>
                <c:pt idx="27">
                  <c:v>754700</c:v>
                </c:pt>
                <c:pt idx="28">
                  <c:v>754700</c:v>
                </c:pt>
                <c:pt idx="29">
                  <c:v>754700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05-453B-8B3D-91C6FF220557}"/>
            </c:ext>
          </c:extLst>
        </c:ser>
        <c:ser>
          <c:idx val="4"/>
          <c:order val="3"/>
          <c:tx>
            <c:strRef>
              <c:f>'BEP(on)'!$C$6</c:f>
              <c:strCache>
                <c:ptCount val="1"/>
                <c:pt idx="0">
                  <c:v>Fixed costs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'BEP(on)'!$B$9:$B$38</c:f>
              <c:numCache>
                <c:formatCode>#,##0</c:formatCode>
                <c:ptCount val="30"/>
                <c:pt idx="0">
                  <c:v>389.94</c:v>
                </c:pt>
                <c:pt idx="1">
                  <c:v>19598.464499999998</c:v>
                </c:pt>
                <c:pt idx="2">
                  <c:v>39247.474300000002</c:v>
                </c:pt>
                <c:pt idx="3">
                  <c:v>57965.079299999998</c:v>
                </c:pt>
                <c:pt idx="4">
                  <c:v>76659.159299999999</c:v>
                </c:pt>
                <c:pt idx="5">
                  <c:v>95200.090800000005</c:v>
                </c:pt>
                <c:pt idx="6">
                  <c:v>113545.85460000001</c:v>
                </c:pt>
                <c:pt idx="7">
                  <c:v>131696.45069999999</c:v>
                </c:pt>
                <c:pt idx="8">
                  <c:v>149651.87909999999</c:v>
                </c:pt>
                <c:pt idx="9">
                  <c:v>167412.1398</c:v>
                </c:pt>
                <c:pt idx="10">
                  <c:v>184977.2328</c:v>
                </c:pt>
                <c:pt idx="11">
                  <c:v>202347.1581</c:v>
                </c:pt>
                <c:pt idx="12">
                  <c:v>219521.91570000001</c:v>
                </c:pt>
                <c:pt idx="13">
                  <c:v>236501.5056</c:v>
                </c:pt>
                <c:pt idx="14">
                  <c:v>253285.9278</c:v>
                </c:pt>
                <c:pt idx="15">
                  <c:v>269875.18229999999</c:v>
                </c:pt>
                <c:pt idx="16">
                  <c:v>286269.26909999998</c:v>
                </c:pt>
                <c:pt idx="17">
                  <c:v>302468.18819999998</c:v>
                </c:pt>
                <c:pt idx="18">
                  <c:v>318471.93959999998</c:v>
                </c:pt>
                <c:pt idx="19">
                  <c:v>334280.5233</c:v>
                </c:pt>
                <c:pt idx="20">
                  <c:v>349893.93929999997</c:v>
                </c:pt>
                <c:pt idx="21">
                  <c:v>365312.18759999995</c:v>
                </c:pt>
                <c:pt idx="22">
                  <c:v>380535.26819999993</c:v>
                </c:pt>
                <c:pt idx="23">
                  <c:v>395563.18109999993</c:v>
                </c:pt>
                <c:pt idx="24">
                  <c:v>410395.92629999993</c:v>
                </c:pt>
                <c:pt idx="25">
                  <c:v>425033.50379999995</c:v>
                </c:pt>
                <c:pt idx="26">
                  <c:v>439475.91359999997</c:v>
                </c:pt>
                <c:pt idx="27">
                  <c:v>453723.15569999994</c:v>
                </c:pt>
                <c:pt idx="28">
                  <c:v>467775.23009999993</c:v>
                </c:pt>
                <c:pt idx="29">
                  <c:v>481632.13679999992</c:v>
                </c:pt>
              </c:numCache>
            </c:numRef>
          </c:xVal>
          <c:yVal>
            <c:numRef>
              <c:f>'BEP(on)'!$C$9:$C$38</c:f>
              <c:numCache>
                <c:formatCode>#\ ##0\ "Kč"</c:formatCode>
                <c:ptCount val="30"/>
                <c:pt idx="0">
                  <c:v>754700</c:v>
                </c:pt>
                <c:pt idx="1">
                  <c:v>754700</c:v>
                </c:pt>
                <c:pt idx="2">
                  <c:v>754700</c:v>
                </c:pt>
                <c:pt idx="3">
                  <c:v>754700</c:v>
                </c:pt>
                <c:pt idx="4">
                  <c:v>754700</c:v>
                </c:pt>
                <c:pt idx="5">
                  <c:v>754700</c:v>
                </c:pt>
                <c:pt idx="6">
                  <c:v>754700</c:v>
                </c:pt>
                <c:pt idx="7">
                  <c:v>754700</c:v>
                </c:pt>
                <c:pt idx="8">
                  <c:v>754700</c:v>
                </c:pt>
                <c:pt idx="9">
                  <c:v>754700</c:v>
                </c:pt>
                <c:pt idx="10">
                  <c:v>754700</c:v>
                </c:pt>
                <c:pt idx="11">
                  <c:v>754700</c:v>
                </c:pt>
                <c:pt idx="12">
                  <c:v>754700</c:v>
                </c:pt>
                <c:pt idx="13">
                  <c:v>754700</c:v>
                </c:pt>
                <c:pt idx="14">
                  <c:v>754700</c:v>
                </c:pt>
                <c:pt idx="15">
                  <c:v>754700</c:v>
                </c:pt>
                <c:pt idx="16">
                  <c:v>754700</c:v>
                </c:pt>
                <c:pt idx="17">
                  <c:v>754700</c:v>
                </c:pt>
                <c:pt idx="18">
                  <c:v>754700</c:v>
                </c:pt>
                <c:pt idx="19">
                  <c:v>754700</c:v>
                </c:pt>
                <c:pt idx="20">
                  <c:v>754700</c:v>
                </c:pt>
                <c:pt idx="21">
                  <c:v>754700</c:v>
                </c:pt>
                <c:pt idx="22">
                  <c:v>754700</c:v>
                </c:pt>
                <c:pt idx="23">
                  <c:v>754700</c:v>
                </c:pt>
                <c:pt idx="24">
                  <c:v>754700</c:v>
                </c:pt>
                <c:pt idx="25">
                  <c:v>754700</c:v>
                </c:pt>
                <c:pt idx="26">
                  <c:v>754700</c:v>
                </c:pt>
                <c:pt idx="27">
                  <c:v>754700</c:v>
                </c:pt>
                <c:pt idx="28">
                  <c:v>754700</c:v>
                </c:pt>
                <c:pt idx="29">
                  <c:v>754700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205-453B-8B3D-91C6FF220557}"/>
            </c:ext>
          </c:extLst>
        </c:ser>
        <c:ser>
          <c:idx val="3"/>
          <c:order val="4"/>
          <c:tx>
            <c:strRef>
              <c:f>'BEP(on)'!$E$6</c:f>
              <c:strCache>
                <c:ptCount val="1"/>
                <c:pt idx="0">
                  <c:v>Total variable costs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'BEP(on)'!$B$9:$B$38</c:f>
              <c:numCache>
                <c:formatCode>#,##0</c:formatCode>
                <c:ptCount val="30"/>
                <c:pt idx="0">
                  <c:v>389.94</c:v>
                </c:pt>
                <c:pt idx="1">
                  <c:v>19598.464499999998</c:v>
                </c:pt>
                <c:pt idx="2">
                  <c:v>39247.474300000002</c:v>
                </c:pt>
                <c:pt idx="3">
                  <c:v>57965.079299999998</c:v>
                </c:pt>
                <c:pt idx="4">
                  <c:v>76659.159299999999</c:v>
                </c:pt>
                <c:pt idx="5">
                  <c:v>95200.090800000005</c:v>
                </c:pt>
                <c:pt idx="6">
                  <c:v>113545.85460000001</c:v>
                </c:pt>
                <c:pt idx="7">
                  <c:v>131696.45069999999</c:v>
                </c:pt>
                <c:pt idx="8">
                  <c:v>149651.87909999999</c:v>
                </c:pt>
                <c:pt idx="9">
                  <c:v>167412.1398</c:v>
                </c:pt>
                <c:pt idx="10">
                  <c:v>184977.2328</c:v>
                </c:pt>
                <c:pt idx="11">
                  <c:v>202347.1581</c:v>
                </c:pt>
                <c:pt idx="12">
                  <c:v>219521.91570000001</c:v>
                </c:pt>
                <c:pt idx="13">
                  <c:v>236501.5056</c:v>
                </c:pt>
                <c:pt idx="14">
                  <c:v>253285.9278</c:v>
                </c:pt>
                <c:pt idx="15">
                  <c:v>269875.18229999999</c:v>
                </c:pt>
                <c:pt idx="16">
                  <c:v>286269.26909999998</c:v>
                </c:pt>
                <c:pt idx="17">
                  <c:v>302468.18819999998</c:v>
                </c:pt>
                <c:pt idx="18">
                  <c:v>318471.93959999998</c:v>
                </c:pt>
                <c:pt idx="19">
                  <c:v>334280.5233</c:v>
                </c:pt>
                <c:pt idx="20">
                  <c:v>349893.93929999997</c:v>
                </c:pt>
                <c:pt idx="21">
                  <c:v>365312.18759999995</c:v>
                </c:pt>
                <c:pt idx="22">
                  <c:v>380535.26819999993</c:v>
                </c:pt>
                <c:pt idx="23">
                  <c:v>395563.18109999993</c:v>
                </c:pt>
                <c:pt idx="24">
                  <c:v>410395.92629999993</c:v>
                </c:pt>
                <c:pt idx="25">
                  <c:v>425033.50379999995</c:v>
                </c:pt>
                <c:pt idx="26">
                  <c:v>439475.91359999997</c:v>
                </c:pt>
                <c:pt idx="27">
                  <c:v>453723.15569999994</c:v>
                </c:pt>
                <c:pt idx="28">
                  <c:v>467775.23009999993</c:v>
                </c:pt>
                <c:pt idx="29">
                  <c:v>481632.13679999992</c:v>
                </c:pt>
              </c:numCache>
            </c:numRef>
          </c:xVal>
          <c:yVal>
            <c:numRef>
              <c:f>'BEP(on)'!$E$9:$E$38</c:f>
              <c:numCache>
                <c:formatCode>#\ ##0\ "Kč"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205-453B-8B3D-91C6FF22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772048"/>
        <c:axId val="261772440"/>
      </c:scatterChart>
      <c:valAx>
        <c:axId val="261772048"/>
        <c:scaling>
          <c:orientation val="minMax"/>
          <c:max val="5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kWh</a:t>
                </a:r>
              </a:p>
            </c:rich>
          </c:tx>
          <c:layout>
            <c:manualLayout>
              <c:xMode val="edge"/>
              <c:yMode val="edge"/>
              <c:x val="0.47643094783800488"/>
              <c:y val="0.92058571042735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61772440"/>
        <c:crosses val="autoZero"/>
        <c:crossBetween val="midCat"/>
        <c:majorUnit val="50000"/>
      </c:valAx>
      <c:valAx>
        <c:axId val="261772440"/>
        <c:scaling>
          <c:orientation val="minMax"/>
          <c:min val="-1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CZK</a:t>
                </a:r>
              </a:p>
            </c:rich>
          </c:tx>
          <c:layout>
            <c:manualLayout>
              <c:xMode val="edge"/>
              <c:yMode val="edge"/>
              <c:x val="2.7306226653408937E-2"/>
              <c:y val="0.46982818440570917"/>
            </c:manualLayout>
          </c:layout>
          <c:overlay val="0"/>
        </c:title>
        <c:numFmt formatCode="#,##0\ _K_č" sourceLinked="0"/>
        <c:majorTickMark val="out"/>
        <c:minorTickMark val="none"/>
        <c:tickLblPos val="nextTo"/>
        <c:crossAx val="2617720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891419203998821"/>
          <c:y val="7.258920075623794E-2"/>
          <c:w val="0.20186192254978363"/>
          <c:h val="0.5272364490058795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1400"/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6" tint="0.39997558519241921"/>
  </sheetPr>
  <sheetViews>
    <sheetView tabSelected="1" zoomScale="116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6" tint="0.39997558519241921"/>
  </sheetPr>
  <sheetViews>
    <sheetView zoomScale="12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0344150" y="457200"/>
    <xdr:ext cx="11630025" cy="44577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657350" y="571500"/>
    <xdr:ext cx="11630025" cy="44577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457450" y="7848600"/>
    <xdr:ext cx="9300104" cy="6010451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166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day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A52" sqref="A52"/>
    </sheetView>
  </sheetViews>
  <sheetFormatPr defaultRowHeight="15" x14ac:dyDescent="0.25"/>
  <cols>
    <col min="1" max="1" width="13.28515625" customWidth="1"/>
    <col min="2" max="2" width="10.5703125" customWidth="1"/>
    <col min="11" max="11" width="9.5703125" bestFit="1" customWidth="1"/>
    <col min="15" max="15" width="16.42578125" customWidth="1"/>
    <col min="18" max="18" width="10.5703125" customWidth="1"/>
    <col min="19" max="19" width="13.5703125" customWidth="1"/>
  </cols>
  <sheetData>
    <row r="1" spans="1:19" x14ac:dyDescent="0.25">
      <c r="A1" s="4" t="s">
        <v>93</v>
      </c>
      <c r="B1" s="4"/>
      <c r="C1" s="4"/>
      <c r="D1" s="4"/>
      <c r="E1" s="4"/>
    </row>
    <row r="2" spans="1:19" x14ac:dyDescent="0.25">
      <c r="A2" s="4" t="s">
        <v>94</v>
      </c>
    </row>
    <row r="3" spans="1:19" s="12" customFormat="1" x14ac:dyDescent="0.25">
      <c r="C3" s="121">
        <v>2013</v>
      </c>
      <c r="D3" s="121"/>
      <c r="E3" s="121">
        <v>2014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s="13" customFormat="1" x14ac:dyDescent="0.25">
      <c r="C4" s="96" t="s">
        <v>95</v>
      </c>
      <c r="D4" s="96" t="s">
        <v>96</v>
      </c>
      <c r="E4" s="97" t="s">
        <v>97</v>
      </c>
      <c r="F4" s="97" t="s">
        <v>98</v>
      </c>
      <c r="G4" s="97" t="s">
        <v>99</v>
      </c>
      <c r="H4" s="97" t="s">
        <v>100</v>
      </c>
      <c r="I4" s="97" t="s">
        <v>101</v>
      </c>
      <c r="J4" s="97" t="s">
        <v>102</v>
      </c>
      <c r="K4" s="97" t="s">
        <v>103</v>
      </c>
      <c r="L4" s="97" t="s">
        <v>104</v>
      </c>
      <c r="M4" s="97" t="s">
        <v>105</v>
      </c>
      <c r="N4" s="97" t="s">
        <v>106</v>
      </c>
      <c r="O4" s="97" t="s">
        <v>95</v>
      </c>
      <c r="P4" s="97" t="s">
        <v>96</v>
      </c>
      <c r="Q4" s="98" t="s">
        <v>107</v>
      </c>
      <c r="R4" s="99" t="s">
        <v>37</v>
      </c>
      <c r="S4" s="99" t="s">
        <v>108</v>
      </c>
    </row>
    <row r="5" spans="1:19" x14ac:dyDescent="0.25">
      <c r="A5" s="100" t="s">
        <v>109</v>
      </c>
      <c r="B5" s="100">
        <v>1</v>
      </c>
      <c r="C5" s="100">
        <v>62.85</v>
      </c>
      <c r="D5" s="101">
        <v>390.94</v>
      </c>
      <c r="E5" s="100">
        <v>700.94</v>
      </c>
      <c r="F5" s="100">
        <v>1545.08</v>
      </c>
      <c r="G5" s="100">
        <v>3892.99</v>
      </c>
      <c r="H5" s="100">
        <v>6635.57</v>
      </c>
      <c r="I5" s="100">
        <v>8734.91</v>
      </c>
      <c r="J5" s="100">
        <v>11432.96</v>
      </c>
      <c r="K5" s="100">
        <v>14152.76</v>
      </c>
      <c r="L5" s="100">
        <v>16375.25</v>
      </c>
      <c r="M5" s="100">
        <v>18201.46</v>
      </c>
      <c r="N5" s="100">
        <v>19165.439999999999</v>
      </c>
      <c r="O5" s="100">
        <v>19540.73</v>
      </c>
      <c r="P5" s="100">
        <v>19793.490000000002</v>
      </c>
      <c r="Q5" s="102"/>
      <c r="R5" s="100"/>
      <c r="S5" s="100"/>
    </row>
    <row r="6" spans="1:19" x14ac:dyDescent="0.25">
      <c r="A6" s="100" t="s">
        <v>110</v>
      </c>
      <c r="B6" s="100"/>
      <c r="C6" s="100">
        <f>C5-B5</f>
        <v>61.85</v>
      </c>
      <c r="D6" s="101">
        <f>D5-C5</f>
        <v>328.09</v>
      </c>
      <c r="E6" s="101">
        <f>E5-D5</f>
        <v>310.00000000000006</v>
      </c>
      <c r="F6" s="101">
        <f t="shared" ref="F6:P6" si="0">F5-E5</f>
        <v>844.13999999999987</v>
      </c>
      <c r="G6" s="101">
        <f t="shared" si="0"/>
        <v>2347.91</v>
      </c>
      <c r="H6" s="101">
        <f t="shared" si="0"/>
        <v>2742.58</v>
      </c>
      <c r="I6" s="101">
        <f t="shared" si="0"/>
        <v>2099.34</v>
      </c>
      <c r="J6" s="101">
        <f t="shared" si="0"/>
        <v>2698.0499999999993</v>
      </c>
      <c r="K6" s="101">
        <f t="shared" si="0"/>
        <v>2719.8000000000011</v>
      </c>
      <c r="L6" s="101">
        <f t="shared" si="0"/>
        <v>2222.4899999999998</v>
      </c>
      <c r="M6" s="101">
        <f t="shared" si="0"/>
        <v>1826.2099999999991</v>
      </c>
      <c r="N6" s="101">
        <f t="shared" si="0"/>
        <v>963.97999999999956</v>
      </c>
      <c r="O6" s="101">
        <f t="shared" si="0"/>
        <v>375.29000000000087</v>
      </c>
      <c r="P6" s="101">
        <f t="shared" si="0"/>
        <v>252.76000000000204</v>
      </c>
      <c r="Q6" s="103">
        <f>C6+D6+E6+F6+G6+H6+I6+J6+K6+L6+M6+N6+O6+P6</f>
        <v>19792.490000000002</v>
      </c>
      <c r="R6" s="101">
        <v>2.81</v>
      </c>
      <c r="S6" s="101">
        <f>Q6*R6</f>
        <v>55616.896900000007</v>
      </c>
    </row>
    <row r="8" spans="1:19" x14ac:dyDescent="0.25">
      <c r="A8" t="s">
        <v>111</v>
      </c>
    </row>
    <row r="9" spans="1:19" x14ac:dyDescent="0.25">
      <c r="A9" s="104" t="s">
        <v>112</v>
      </c>
    </row>
    <row r="11" spans="1:19" s="12" customFormat="1" x14ac:dyDescent="0.25">
      <c r="C11" s="121"/>
      <c r="D11" s="121"/>
      <c r="E11" s="121">
        <v>2015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spans="1:19" s="13" customFormat="1" x14ac:dyDescent="0.25">
      <c r="C12" s="113" t="s">
        <v>113</v>
      </c>
      <c r="D12" s="114"/>
      <c r="E12" s="97" t="s">
        <v>97</v>
      </c>
      <c r="F12" s="97" t="s">
        <v>98</v>
      </c>
      <c r="G12" s="97" t="s">
        <v>99</v>
      </c>
      <c r="H12" s="97" t="s">
        <v>100</v>
      </c>
      <c r="I12" s="97" t="s">
        <v>101</v>
      </c>
      <c r="J12" s="97" t="s">
        <v>102</v>
      </c>
      <c r="K12" s="97" t="s">
        <v>103</v>
      </c>
      <c r="L12" s="97" t="s">
        <v>104</v>
      </c>
      <c r="M12" s="97" t="s">
        <v>105</v>
      </c>
      <c r="N12" s="97" t="s">
        <v>106</v>
      </c>
      <c r="O12" s="97" t="s">
        <v>95</v>
      </c>
      <c r="P12" s="97" t="s">
        <v>96</v>
      </c>
      <c r="Q12" s="98" t="s">
        <v>107</v>
      </c>
      <c r="R12" s="99" t="s">
        <v>37</v>
      </c>
      <c r="S12" s="99" t="s">
        <v>108</v>
      </c>
    </row>
    <row r="13" spans="1:19" x14ac:dyDescent="0.25">
      <c r="A13" s="100" t="s">
        <v>109</v>
      </c>
      <c r="B13" s="100"/>
      <c r="C13" s="115">
        <v>19793.490000000002</v>
      </c>
      <c r="D13" s="116"/>
      <c r="E13" s="100">
        <v>20040.439999999999</v>
      </c>
      <c r="F13" s="100">
        <v>20917.87</v>
      </c>
      <c r="G13" s="100">
        <v>22653.56</v>
      </c>
      <c r="H13" s="100">
        <v>25529.75</v>
      </c>
      <c r="I13" s="100">
        <v>27661.33</v>
      </c>
      <c r="J13" s="100">
        <v>30485.55</v>
      </c>
      <c r="K13" s="101">
        <v>33825</v>
      </c>
      <c r="L13" s="100">
        <v>36166.629999999997</v>
      </c>
      <c r="M13" s="100">
        <v>38439.97</v>
      </c>
      <c r="N13" s="100">
        <v>39139.56</v>
      </c>
      <c r="O13" s="100">
        <v>39655.599999999999</v>
      </c>
      <c r="P13" s="100">
        <v>39843.5</v>
      </c>
      <c r="Q13" s="100"/>
      <c r="R13" s="100"/>
      <c r="S13" s="100"/>
    </row>
    <row r="14" spans="1:19" x14ac:dyDescent="0.25">
      <c r="A14" s="100" t="s">
        <v>110</v>
      </c>
      <c r="B14" s="100"/>
      <c r="C14" s="115"/>
      <c r="D14" s="116"/>
      <c r="E14" s="101">
        <f>E13-C13</f>
        <v>246.94999999999709</v>
      </c>
      <c r="F14" s="101">
        <f t="shared" ref="F14:P14" si="1">F13-E13</f>
        <v>877.43000000000029</v>
      </c>
      <c r="G14" s="101">
        <f t="shared" si="1"/>
        <v>1735.6900000000023</v>
      </c>
      <c r="H14" s="101">
        <f t="shared" si="1"/>
        <v>2876.1899999999987</v>
      </c>
      <c r="I14" s="101">
        <f t="shared" si="1"/>
        <v>2131.5800000000017</v>
      </c>
      <c r="J14" s="101">
        <f t="shared" si="1"/>
        <v>2824.2199999999975</v>
      </c>
      <c r="K14" s="101">
        <f t="shared" si="1"/>
        <v>3339.4500000000007</v>
      </c>
      <c r="L14" s="101">
        <f t="shared" si="1"/>
        <v>2341.6299999999974</v>
      </c>
      <c r="M14" s="101">
        <f t="shared" si="1"/>
        <v>2273.3400000000038</v>
      </c>
      <c r="N14" s="101">
        <f t="shared" si="1"/>
        <v>699.58999999999651</v>
      </c>
      <c r="O14" s="101">
        <f t="shared" si="1"/>
        <v>516.04000000000087</v>
      </c>
      <c r="P14" s="101">
        <f t="shared" si="1"/>
        <v>187.90000000000146</v>
      </c>
      <c r="Q14" s="103">
        <f>E14+F14+G14+H14+I14+J14+K14+L14+M14+N14+O14+P14</f>
        <v>20050.009999999998</v>
      </c>
      <c r="R14" s="101">
        <v>2.9</v>
      </c>
      <c r="S14" s="101">
        <f>Q14*R14</f>
        <v>58145.028999999995</v>
      </c>
    </row>
    <row r="17" spans="1:19" s="12" customFormat="1" x14ac:dyDescent="0.25">
      <c r="C17" s="121"/>
      <c r="D17" s="121"/>
      <c r="E17" s="121">
        <v>2016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</row>
    <row r="18" spans="1:19" s="13" customFormat="1" x14ac:dyDescent="0.25">
      <c r="C18" s="113" t="s">
        <v>113</v>
      </c>
      <c r="D18" s="114"/>
      <c r="E18" s="97" t="s">
        <v>97</v>
      </c>
      <c r="F18" s="97" t="s">
        <v>98</v>
      </c>
      <c r="G18" s="97" t="s">
        <v>99</v>
      </c>
      <c r="H18" s="97" t="s">
        <v>100</v>
      </c>
      <c r="I18" s="97" t="s">
        <v>101</v>
      </c>
      <c r="J18" s="97" t="s">
        <v>102</v>
      </c>
      <c r="K18" s="97" t="s">
        <v>103</v>
      </c>
      <c r="L18" s="97" t="s">
        <v>104</v>
      </c>
      <c r="M18" s="97" t="s">
        <v>105</v>
      </c>
      <c r="N18" s="97" t="s">
        <v>106</v>
      </c>
      <c r="O18" s="97" t="s">
        <v>95</v>
      </c>
      <c r="P18" s="97" t="s">
        <v>96</v>
      </c>
      <c r="Q18" s="98" t="s">
        <v>107</v>
      </c>
      <c r="R18" s="99" t="s">
        <v>37</v>
      </c>
      <c r="S18" s="99" t="s">
        <v>108</v>
      </c>
    </row>
    <row r="19" spans="1:19" x14ac:dyDescent="0.25">
      <c r="A19" s="100" t="s">
        <v>109</v>
      </c>
      <c r="B19" s="100"/>
      <c r="C19" s="115">
        <v>39843.5</v>
      </c>
      <c r="D19" s="116"/>
      <c r="E19" s="100">
        <v>40141.29</v>
      </c>
      <c r="F19" s="100">
        <v>40830.6</v>
      </c>
      <c r="G19" s="100">
        <v>42201.22</v>
      </c>
      <c r="H19" s="100">
        <v>44745</v>
      </c>
      <c r="I19" s="100">
        <v>47358</v>
      </c>
      <c r="J19" s="100">
        <v>50071.68</v>
      </c>
      <c r="K19" s="101">
        <v>52718.81</v>
      </c>
      <c r="L19" s="100">
        <v>55332.77</v>
      </c>
      <c r="M19" s="100">
        <v>57841</v>
      </c>
      <c r="N19" s="100">
        <v>58500</v>
      </c>
      <c r="O19" s="100">
        <v>58968</v>
      </c>
      <c r="P19" s="100">
        <v>59140</v>
      </c>
      <c r="Q19" s="100"/>
      <c r="R19" s="100"/>
      <c r="S19" s="100"/>
    </row>
    <row r="20" spans="1:19" x14ac:dyDescent="0.25">
      <c r="A20" s="100" t="s">
        <v>110</v>
      </c>
      <c r="B20" s="100"/>
      <c r="C20" s="115"/>
      <c r="D20" s="116"/>
      <c r="E20" s="101">
        <f>E19-C19</f>
        <v>297.79000000000087</v>
      </c>
      <c r="F20" s="101">
        <f t="shared" ref="F20:P20" si="2">F19-E19</f>
        <v>689.30999999999767</v>
      </c>
      <c r="G20" s="101">
        <f t="shared" si="2"/>
        <v>1370.6200000000026</v>
      </c>
      <c r="H20" s="101">
        <f t="shared" si="2"/>
        <v>2543.7799999999988</v>
      </c>
      <c r="I20" s="101">
        <f t="shared" si="2"/>
        <v>2613</v>
      </c>
      <c r="J20" s="101">
        <f t="shared" si="2"/>
        <v>2713.6800000000003</v>
      </c>
      <c r="K20" s="101">
        <f t="shared" si="2"/>
        <v>2647.1299999999974</v>
      </c>
      <c r="L20" s="101">
        <f t="shared" si="2"/>
        <v>2613.9599999999991</v>
      </c>
      <c r="M20" s="101">
        <f t="shared" si="2"/>
        <v>2508.2300000000032</v>
      </c>
      <c r="N20" s="101">
        <f t="shared" si="2"/>
        <v>659</v>
      </c>
      <c r="O20" s="101">
        <f t="shared" si="2"/>
        <v>468</v>
      </c>
      <c r="P20" s="101">
        <f t="shared" si="2"/>
        <v>172</v>
      </c>
      <c r="Q20" s="103">
        <f>E20+F20+G20+H20+I20+J20+K20+L20+M20+N20+O20+P20</f>
        <v>19296.5</v>
      </c>
      <c r="R20" s="101">
        <v>2.4</v>
      </c>
      <c r="S20" s="101">
        <f>Q20*R20</f>
        <v>46311.6</v>
      </c>
    </row>
    <row r="23" spans="1:19" s="12" customFormat="1" x14ac:dyDescent="0.25">
      <c r="C23" s="121"/>
      <c r="D23" s="121"/>
      <c r="E23" s="121">
        <v>2017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spans="1:19" s="13" customFormat="1" x14ac:dyDescent="0.25">
      <c r="C24" s="113" t="s">
        <v>113</v>
      </c>
      <c r="D24" s="114"/>
      <c r="E24" s="97" t="s">
        <v>97</v>
      </c>
      <c r="F24" s="97" t="s">
        <v>98</v>
      </c>
      <c r="G24" s="97" t="s">
        <v>99</v>
      </c>
      <c r="H24" s="97" t="s">
        <v>100</v>
      </c>
      <c r="I24" s="97" t="s">
        <v>101</v>
      </c>
      <c r="J24" s="97" t="s">
        <v>102</v>
      </c>
      <c r="K24" s="97" t="s">
        <v>103</v>
      </c>
      <c r="L24" s="97" t="s">
        <v>104</v>
      </c>
      <c r="M24" s="97" t="s">
        <v>105</v>
      </c>
      <c r="N24" s="97" t="s">
        <v>106</v>
      </c>
      <c r="O24" s="97" t="s">
        <v>95</v>
      </c>
      <c r="P24" s="97" t="s">
        <v>96</v>
      </c>
      <c r="Q24" s="98" t="s">
        <v>107</v>
      </c>
      <c r="R24" s="99" t="s">
        <v>37</v>
      </c>
      <c r="S24" s="99" t="s">
        <v>108</v>
      </c>
    </row>
    <row r="25" spans="1:19" x14ac:dyDescent="0.25">
      <c r="A25" s="100" t="s">
        <v>109</v>
      </c>
      <c r="B25" s="100"/>
      <c r="C25" s="115">
        <v>59140</v>
      </c>
      <c r="D25" s="116"/>
      <c r="E25" s="100">
        <v>59457</v>
      </c>
      <c r="F25" s="100">
        <v>60224</v>
      </c>
      <c r="G25" s="100">
        <v>62366</v>
      </c>
      <c r="H25" s="100">
        <v>64345</v>
      </c>
      <c r="I25" s="100">
        <v>67741.710000000006</v>
      </c>
      <c r="J25" s="100">
        <v>70007.89</v>
      </c>
      <c r="K25" s="101">
        <v>72781.62</v>
      </c>
      <c r="L25" s="100">
        <v>75522.78</v>
      </c>
      <c r="M25" s="100">
        <v>76987.55</v>
      </c>
      <c r="N25" s="100">
        <v>77963.95</v>
      </c>
      <c r="O25" s="100">
        <v>78444</v>
      </c>
      <c r="P25" s="100">
        <v>78613</v>
      </c>
      <c r="Q25" s="100"/>
      <c r="R25" s="100"/>
      <c r="S25" s="100"/>
    </row>
    <row r="26" spans="1:19" x14ac:dyDescent="0.25">
      <c r="A26" s="100" t="s">
        <v>110</v>
      </c>
      <c r="B26" s="100"/>
      <c r="C26" s="115"/>
      <c r="D26" s="116"/>
      <c r="E26" s="101">
        <f>E25-C25</f>
        <v>317</v>
      </c>
      <c r="F26" s="101">
        <f t="shared" ref="F26:P26" si="3">F25-E25</f>
        <v>767</v>
      </c>
      <c r="G26" s="101">
        <f t="shared" si="3"/>
        <v>2142</v>
      </c>
      <c r="H26" s="101">
        <f t="shared" si="3"/>
        <v>1979</v>
      </c>
      <c r="I26" s="101">
        <f t="shared" si="3"/>
        <v>3396.7100000000064</v>
      </c>
      <c r="J26" s="101">
        <f t="shared" si="3"/>
        <v>2266.179999999993</v>
      </c>
      <c r="K26" s="101">
        <f t="shared" si="3"/>
        <v>2773.7299999999959</v>
      </c>
      <c r="L26" s="101">
        <f t="shared" si="3"/>
        <v>2741.1600000000035</v>
      </c>
      <c r="M26" s="101">
        <f t="shared" si="3"/>
        <v>1464.7700000000041</v>
      </c>
      <c r="N26" s="101">
        <f t="shared" si="3"/>
        <v>976.39999999999418</v>
      </c>
      <c r="O26" s="101">
        <f t="shared" si="3"/>
        <v>480.05000000000291</v>
      </c>
      <c r="P26" s="101">
        <f t="shared" si="3"/>
        <v>169</v>
      </c>
      <c r="Q26" s="103">
        <f>E26+F26+G26+H26+I26+J26+K26+L26+M26+N26+O26+P26</f>
        <v>19473</v>
      </c>
      <c r="R26" s="101">
        <v>2.09</v>
      </c>
      <c r="S26" s="101">
        <f>Q26*R26</f>
        <v>40698.57</v>
      </c>
    </row>
    <row r="29" spans="1:19" s="12" customFormat="1" x14ac:dyDescent="0.25">
      <c r="C29" s="121"/>
      <c r="D29" s="121"/>
      <c r="E29" s="121">
        <v>2018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</row>
    <row r="30" spans="1:19" s="13" customFormat="1" x14ac:dyDescent="0.25">
      <c r="C30" s="113" t="s">
        <v>113</v>
      </c>
      <c r="D30" s="114"/>
      <c r="E30" s="97" t="s">
        <v>97</v>
      </c>
      <c r="F30" s="97" t="s">
        <v>98</v>
      </c>
      <c r="G30" s="97" t="s">
        <v>99</v>
      </c>
      <c r="H30" s="97" t="s">
        <v>100</v>
      </c>
      <c r="I30" s="97" t="s">
        <v>101</v>
      </c>
      <c r="J30" s="97" t="s">
        <v>102</v>
      </c>
      <c r="K30" s="97" t="s">
        <v>103</v>
      </c>
      <c r="L30" s="97" t="s">
        <v>104</v>
      </c>
      <c r="M30" s="97" t="s">
        <v>105</v>
      </c>
      <c r="N30" s="97" t="s">
        <v>106</v>
      </c>
      <c r="O30" s="97" t="s">
        <v>95</v>
      </c>
      <c r="P30" s="97" t="s">
        <v>96</v>
      </c>
      <c r="Q30" s="98" t="s">
        <v>107</v>
      </c>
      <c r="R30" s="99" t="s">
        <v>37</v>
      </c>
      <c r="S30" s="99" t="s">
        <v>108</v>
      </c>
    </row>
    <row r="31" spans="1:19" x14ac:dyDescent="0.25">
      <c r="A31" s="100" t="s">
        <v>109</v>
      </c>
      <c r="B31" s="100"/>
      <c r="C31" s="115">
        <v>78613</v>
      </c>
      <c r="D31" s="116"/>
      <c r="E31" s="100">
        <v>78893</v>
      </c>
      <c r="F31" s="100">
        <v>79772</v>
      </c>
      <c r="G31" s="100">
        <v>0</v>
      </c>
      <c r="H31" s="100">
        <v>0</v>
      </c>
      <c r="I31" s="100">
        <v>0</v>
      </c>
      <c r="J31" s="100">
        <v>0</v>
      </c>
      <c r="K31" s="105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/>
      <c r="R31" s="100"/>
      <c r="S31" s="100"/>
    </row>
    <row r="32" spans="1:19" x14ac:dyDescent="0.25">
      <c r="A32" s="100" t="s">
        <v>110</v>
      </c>
      <c r="B32" s="100"/>
      <c r="C32" s="115"/>
      <c r="D32" s="116"/>
      <c r="E32" s="101">
        <f>E31-C31</f>
        <v>280</v>
      </c>
      <c r="F32" s="101">
        <f t="shared" ref="F32:P32" si="4">F31-E31</f>
        <v>879</v>
      </c>
      <c r="G32" s="101"/>
      <c r="H32" s="101">
        <f t="shared" si="4"/>
        <v>0</v>
      </c>
      <c r="I32" s="101">
        <f t="shared" si="4"/>
        <v>0</v>
      </c>
      <c r="J32" s="101">
        <f t="shared" si="4"/>
        <v>0</v>
      </c>
      <c r="K32" s="101">
        <f t="shared" si="4"/>
        <v>0</v>
      </c>
      <c r="L32" s="101">
        <f t="shared" si="4"/>
        <v>0</v>
      </c>
      <c r="M32" s="101">
        <f t="shared" si="4"/>
        <v>0</v>
      </c>
      <c r="N32" s="101">
        <f t="shared" si="4"/>
        <v>0</v>
      </c>
      <c r="O32" s="101">
        <f t="shared" si="4"/>
        <v>0</v>
      </c>
      <c r="P32" s="101">
        <f t="shared" si="4"/>
        <v>0</v>
      </c>
      <c r="Q32" s="103">
        <f>E32+F32+G32+H32+I32+J32+K32+L32+M32+N32+O32+P32</f>
        <v>1159</v>
      </c>
      <c r="R32" s="101">
        <v>2.02</v>
      </c>
      <c r="S32" s="101">
        <f>E32*R32</f>
        <v>565.6</v>
      </c>
    </row>
    <row r="34" spans="1:19" x14ac:dyDescent="0.25">
      <c r="B34" s="92" t="s">
        <v>114</v>
      </c>
    </row>
    <row r="35" spans="1:19" x14ac:dyDescent="0.25">
      <c r="B35" s="92" t="s">
        <v>115</v>
      </c>
      <c r="S35" s="106">
        <f>S6+S14+S20+S26+S32</f>
        <v>201337.69590000002</v>
      </c>
    </row>
    <row r="36" spans="1:19" x14ac:dyDescent="0.25">
      <c r="B36" s="92"/>
    </row>
    <row r="41" spans="1:19" x14ac:dyDescent="0.25">
      <c r="A41" s="117" t="s">
        <v>144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</row>
    <row r="42" spans="1:19" x14ac:dyDescent="0.25">
      <c r="A42" s="13"/>
    </row>
    <row r="43" spans="1:19" x14ac:dyDescent="0.25">
      <c r="A43" s="118" t="s">
        <v>145</v>
      </c>
      <c r="B43" s="120" t="s">
        <v>146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9" x14ac:dyDescent="0.25">
      <c r="A44" s="119"/>
      <c r="B44" s="110">
        <v>1</v>
      </c>
      <c r="C44" s="110">
        <v>2</v>
      </c>
      <c r="D44" s="110">
        <v>3</v>
      </c>
      <c r="E44" s="110">
        <v>4</v>
      </c>
      <c r="F44" s="110">
        <v>5</v>
      </c>
      <c r="G44" s="110">
        <v>6</v>
      </c>
      <c r="H44" s="110">
        <v>7</v>
      </c>
      <c r="I44" s="110">
        <v>8</v>
      </c>
      <c r="J44" s="110">
        <v>9</v>
      </c>
      <c r="K44" s="110">
        <v>10</v>
      </c>
      <c r="L44" s="110">
        <v>11</v>
      </c>
      <c r="M44" s="110">
        <v>12</v>
      </c>
      <c r="N44" s="13" t="s">
        <v>147</v>
      </c>
      <c r="O44" t="s">
        <v>148</v>
      </c>
    </row>
    <row r="45" spans="1:19" x14ac:dyDescent="0.25">
      <c r="A45" s="110">
        <v>2013</v>
      </c>
      <c r="B45" s="111">
        <v>2.6619999999999999</v>
      </c>
      <c r="C45" s="111">
        <v>2.589</v>
      </c>
      <c r="D45" s="111">
        <v>2.6680000000000001</v>
      </c>
      <c r="E45" s="111">
        <v>3.0230000000000001</v>
      </c>
      <c r="F45" s="111">
        <v>3.7970000000000002</v>
      </c>
      <c r="G45" s="111">
        <v>3.67</v>
      </c>
      <c r="H45" s="111">
        <v>3.258</v>
      </c>
      <c r="I45" s="111">
        <v>3.2519999999999998</v>
      </c>
      <c r="J45" s="111">
        <v>3.407</v>
      </c>
      <c r="K45" s="111">
        <v>3.1869999999999998</v>
      </c>
      <c r="L45" s="111">
        <v>3.2189999999999999</v>
      </c>
      <c r="M45" s="111">
        <v>2.76</v>
      </c>
      <c r="N45" s="68">
        <f>AVERAGE(B45:M45)</f>
        <v>3.124333333333333</v>
      </c>
      <c r="O45" s="68">
        <f>(L45*C6+M45*D6)/(C6+D6)</f>
        <v>2.8328038929066004</v>
      </c>
    </row>
    <row r="46" spans="1:19" x14ac:dyDescent="0.25">
      <c r="A46" s="110">
        <v>2014</v>
      </c>
      <c r="B46" s="111">
        <v>2.7330000000000001</v>
      </c>
      <c r="C46" s="111">
        <v>2.8769999999999998</v>
      </c>
      <c r="D46" s="111">
        <v>3.1379999999999999</v>
      </c>
      <c r="E46" s="111">
        <v>3.2709999999999999</v>
      </c>
      <c r="F46" s="111">
        <v>3.2610000000000001</v>
      </c>
      <c r="G46" s="111">
        <v>3.3719999999999999</v>
      </c>
      <c r="H46" s="111">
        <v>3.282</v>
      </c>
      <c r="I46" s="111">
        <v>3.4740000000000002</v>
      </c>
      <c r="J46" s="111">
        <v>3.597</v>
      </c>
      <c r="K46" s="111">
        <v>3.1869999999999998</v>
      </c>
      <c r="L46" s="111">
        <v>2.903</v>
      </c>
      <c r="M46" s="111">
        <v>2.3130000000000002</v>
      </c>
      <c r="N46" s="68">
        <f t="shared" ref="N46:N50" si="5">AVERAGE(B46:M46)</f>
        <v>3.1173333333333333</v>
      </c>
      <c r="O46" s="68">
        <f>(B46*E6+C46*F6+D46*G6+E46*H6+F46*I6+G46*J6+H46*K6+I46*L6+J46*M6+K46*N6+L46*O6+M46*P6)/(Q6-C6-D6)</f>
        <v>3.2738382387881999</v>
      </c>
    </row>
    <row r="47" spans="1:19" x14ac:dyDescent="0.25">
      <c r="A47" s="110">
        <v>2015</v>
      </c>
      <c r="B47" s="111">
        <v>2.6909999999999998</v>
      </c>
      <c r="C47" s="111">
        <v>2.7010000000000001</v>
      </c>
      <c r="D47" s="111">
        <v>2.867</v>
      </c>
      <c r="E47" s="111">
        <v>3.1139999999999999</v>
      </c>
      <c r="F47" s="111">
        <v>3.5089999999999999</v>
      </c>
      <c r="G47" s="111">
        <v>3.4729999999999999</v>
      </c>
      <c r="H47" s="111">
        <v>3.3380000000000001</v>
      </c>
      <c r="I47" s="111">
        <v>3.2570000000000001</v>
      </c>
      <c r="J47" s="111">
        <v>3.3879999999999999</v>
      </c>
      <c r="K47" s="111">
        <v>2.9940000000000002</v>
      </c>
      <c r="L47" s="111">
        <v>2.9790000000000001</v>
      </c>
      <c r="M47" s="111">
        <v>2.9079999999999999</v>
      </c>
      <c r="N47" s="68">
        <f t="shared" si="5"/>
        <v>3.1015833333333336</v>
      </c>
      <c r="O47" s="68">
        <f>(B47*E14+C47*F14+D47*G14+E47*H14+F47*I14+G47*J14+H47*K14+I47*L14+J47*M14+K47*N14+L47*O14+M47*P14)/Q14</f>
        <v>3.2373803205085676</v>
      </c>
    </row>
    <row r="48" spans="1:19" x14ac:dyDescent="0.25">
      <c r="A48" s="110">
        <v>2016</v>
      </c>
      <c r="B48" s="111">
        <v>1.8919999999999999</v>
      </c>
      <c r="C48" s="111">
        <v>2.2240000000000002</v>
      </c>
      <c r="D48" s="111">
        <v>2.2069999999999999</v>
      </c>
      <c r="E48" s="111">
        <v>2.6589999999999998</v>
      </c>
      <c r="F48" s="111">
        <v>2.8039999999999998</v>
      </c>
      <c r="G48" s="111">
        <v>2.77</v>
      </c>
      <c r="H48" s="111">
        <v>2.8239999999999998</v>
      </c>
      <c r="I48" s="111">
        <v>2.8420000000000001</v>
      </c>
      <c r="J48" s="111">
        <v>2.79</v>
      </c>
      <c r="K48" s="111">
        <v>2.5369999999999999</v>
      </c>
      <c r="L48" s="111">
        <v>2.4550000000000001</v>
      </c>
      <c r="M48" s="111">
        <v>2.181</v>
      </c>
      <c r="N48" s="68">
        <f t="shared" si="5"/>
        <v>2.5154166666666664</v>
      </c>
      <c r="O48" s="68">
        <f>(B48*E20+C48*F20+D48*G20+E48*H20+F48*I20+G48*J20+H48*K20+I48*L20+J48*M20+K48*N20+L48*O20+M48*P20)/Q20</f>
        <v>2.6858417443577847</v>
      </c>
    </row>
    <row r="49" spans="1:15" x14ac:dyDescent="0.25">
      <c r="A49" s="110">
        <v>2017</v>
      </c>
      <c r="B49" s="111">
        <v>1.627</v>
      </c>
      <c r="C49" s="111">
        <v>1.821</v>
      </c>
      <c r="D49" s="111">
        <v>2.0699999999999998</v>
      </c>
      <c r="E49" s="111">
        <v>2.6589999999999998</v>
      </c>
      <c r="F49" s="111">
        <v>2.351</v>
      </c>
      <c r="G49" s="111">
        <v>2.3199999999999998</v>
      </c>
      <c r="H49" s="111">
        <v>2.4140000000000001</v>
      </c>
      <c r="I49" s="111">
        <v>2.395</v>
      </c>
      <c r="J49" s="111">
        <v>2.089</v>
      </c>
      <c r="K49" s="111">
        <v>2.395</v>
      </c>
      <c r="L49" s="111">
        <v>1.94</v>
      </c>
      <c r="M49" s="111">
        <v>1.9590000000000001</v>
      </c>
      <c r="N49" s="68">
        <f t="shared" si="5"/>
        <v>2.17</v>
      </c>
      <c r="O49" s="68">
        <f>(B49*E26+C49*F26+D49*G26+E49*H26+F49*I26+G49*J26+H49*K26+I49*L26+J49*M26+K49*N26+L49*O26+M49*P26)/Q26</f>
        <v>2.2992544939146509</v>
      </c>
    </row>
    <row r="50" spans="1:15" x14ac:dyDescent="0.25">
      <c r="A50" s="110">
        <v>2018</v>
      </c>
      <c r="B50" s="111">
        <v>2.0249999999999999</v>
      </c>
      <c r="C50" s="111">
        <v>2.601</v>
      </c>
      <c r="D50" s="111">
        <v>2.3460000000000001</v>
      </c>
      <c r="E50" s="111"/>
      <c r="F50" s="111"/>
      <c r="G50" s="111"/>
      <c r="H50" s="111"/>
      <c r="I50" s="111"/>
      <c r="J50" s="111"/>
      <c r="K50" s="111"/>
      <c r="L50" s="111"/>
      <c r="M50" s="111"/>
      <c r="N50" s="68">
        <f t="shared" si="5"/>
        <v>2.3239999999999998</v>
      </c>
      <c r="O50" s="68">
        <f>(B50*E32+C50*F32)/Q32</f>
        <v>2.4618455565142363</v>
      </c>
    </row>
    <row r="51" spans="1:15" x14ac:dyDescent="0.25">
      <c r="A51" s="13"/>
    </row>
  </sheetData>
  <mergeCells count="25">
    <mergeCell ref="C23:D23"/>
    <mergeCell ref="E23:S23"/>
    <mergeCell ref="C20:D20"/>
    <mergeCell ref="C3:D3"/>
    <mergeCell ref="E3:S3"/>
    <mergeCell ref="C11:D11"/>
    <mergeCell ref="E11:S11"/>
    <mergeCell ref="C12:D12"/>
    <mergeCell ref="C13:D13"/>
    <mergeCell ref="C14:D14"/>
    <mergeCell ref="C17:D17"/>
    <mergeCell ref="E17:S17"/>
    <mergeCell ref="C18:D18"/>
    <mergeCell ref="C19:D19"/>
    <mergeCell ref="C24:D24"/>
    <mergeCell ref="C25:D25"/>
    <mergeCell ref="C26:D26"/>
    <mergeCell ref="A41:M41"/>
    <mergeCell ref="A43:A44"/>
    <mergeCell ref="B43:M43"/>
    <mergeCell ref="C30:D30"/>
    <mergeCell ref="C31:D31"/>
    <mergeCell ref="C32:D32"/>
    <mergeCell ref="C29:D29"/>
    <mergeCell ref="E29:S2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9"/>
  <sheetViews>
    <sheetView workbookViewId="0">
      <selection activeCell="A19" sqref="A19"/>
    </sheetView>
  </sheetViews>
  <sheetFormatPr defaultRowHeight="15" x14ac:dyDescent="0.25"/>
  <cols>
    <col min="1" max="1" width="12.28515625" customWidth="1"/>
    <col min="2" max="2" width="11.85546875" bestFit="1" customWidth="1"/>
    <col min="3" max="7" width="12.5703125" customWidth="1"/>
    <col min="8" max="8" width="12.28515625" customWidth="1"/>
    <col min="9" max="9" width="4.7109375" customWidth="1"/>
    <col min="10" max="10" width="12.42578125" customWidth="1"/>
    <col min="11" max="12" width="8.5703125" bestFit="1" customWidth="1"/>
    <col min="13" max="13" width="12.28515625" style="68" customWidth="1"/>
    <col min="14" max="14" width="13.28515625" style="68" customWidth="1"/>
    <col min="15" max="15" width="12.28515625" style="68" customWidth="1"/>
    <col min="17" max="17" width="4.7109375" customWidth="1"/>
    <col min="18" max="18" width="12.7109375" customWidth="1"/>
    <col min="19" max="21" width="7.5703125" bestFit="1" customWidth="1"/>
    <col min="22" max="22" width="7.7109375" customWidth="1"/>
    <col min="23" max="23" width="8" customWidth="1"/>
    <col min="24" max="24" width="8.28515625" customWidth="1"/>
    <col min="25" max="25" width="4.7109375" customWidth="1"/>
    <col min="26" max="26" width="12.42578125" customWidth="1"/>
    <col min="27" max="29" width="7.5703125" bestFit="1" customWidth="1"/>
    <col min="30" max="30" width="8.28515625" customWidth="1"/>
    <col min="31" max="31" width="11.42578125" customWidth="1"/>
    <col min="32" max="32" width="8.28515625" bestFit="1" customWidth="1"/>
    <col min="36" max="36" width="13.140625" customWidth="1"/>
  </cols>
  <sheetData>
    <row r="1" spans="1:38" s="40" customFormat="1" x14ac:dyDescent="0.25">
      <c r="A1" s="40" t="s">
        <v>116</v>
      </c>
      <c r="J1" s="40" t="s">
        <v>125</v>
      </c>
      <c r="M1" s="67"/>
      <c r="N1" s="67"/>
      <c r="O1" s="67" t="s">
        <v>123</v>
      </c>
      <c r="R1" s="40" t="s">
        <v>126</v>
      </c>
      <c r="U1" s="67"/>
      <c r="V1" s="67"/>
      <c r="W1" s="67" t="s">
        <v>123</v>
      </c>
      <c r="Z1" s="40" t="s">
        <v>143</v>
      </c>
      <c r="AC1" s="67"/>
      <c r="AD1" s="67"/>
      <c r="AE1" s="67" t="s">
        <v>123</v>
      </c>
      <c r="AJ1" s="75" t="s">
        <v>81</v>
      </c>
    </row>
    <row r="2" spans="1:38" s="81" customFormat="1" ht="75" x14ac:dyDescent="0.25">
      <c r="A2" s="81" t="s">
        <v>117</v>
      </c>
      <c r="B2" s="81" t="s">
        <v>128</v>
      </c>
      <c r="C2" s="81" t="s">
        <v>129</v>
      </c>
      <c r="D2" s="81" t="s">
        <v>130</v>
      </c>
      <c r="E2" s="81" t="s">
        <v>131</v>
      </c>
      <c r="F2" s="81" t="s">
        <v>132</v>
      </c>
      <c r="G2" s="81" t="s">
        <v>133</v>
      </c>
      <c r="H2" s="81" t="s">
        <v>127</v>
      </c>
      <c r="J2" s="81">
        <v>2013</v>
      </c>
      <c r="K2" s="81">
        <v>2014</v>
      </c>
      <c r="L2" s="81">
        <v>2015</v>
      </c>
      <c r="M2" s="81">
        <v>2016</v>
      </c>
      <c r="N2" s="81">
        <v>2017</v>
      </c>
      <c r="O2" s="81">
        <v>2018</v>
      </c>
      <c r="P2" s="81" t="s">
        <v>118</v>
      </c>
      <c r="R2" s="81">
        <v>2013</v>
      </c>
      <c r="S2" s="81">
        <v>2014</v>
      </c>
      <c r="T2" s="81">
        <v>2015</v>
      </c>
      <c r="U2" s="81">
        <v>2016</v>
      </c>
      <c r="V2" s="81">
        <v>2017</v>
      </c>
      <c r="W2" s="81">
        <v>2018</v>
      </c>
      <c r="X2" s="81" t="s">
        <v>118</v>
      </c>
      <c r="Z2" s="81">
        <v>2013</v>
      </c>
      <c r="AA2" s="81">
        <v>2014</v>
      </c>
      <c r="AB2" s="81">
        <v>2015</v>
      </c>
      <c r="AC2" s="81">
        <v>2016</v>
      </c>
      <c r="AD2" s="81">
        <v>2017</v>
      </c>
      <c r="AE2" s="81">
        <v>2018</v>
      </c>
      <c r="AF2" s="81" t="s">
        <v>118</v>
      </c>
      <c r="AJ2" s="81" t="s">
        <v>77</v>
      </c>
    </row>
    <row r="3" spans="1:38" s="33" customFormat="1" x14ac:dyDescent="0.25">
      <c r="A3" s="33" t="s">
        <v>33</v>
      </c>
      <c r="B3" s="107">
        <f>SUM(B4:B15)</f>
        <v>389.94</v>
      </c>
      <c r="C3" s="107">
        <f t="shared" ref="C3:H3" si="0">SUM(C4:C15)</f>
        <v>19402.55</v>
      </c>
      <c r="D3" s="107">
        <f t="shared" si="0"/>
        <v>20050.009999999998</v>
      </c>
      <c r="E3" s="107">
        <f t="shared" si="0"/>
        <v>19296.5</v>
      </c>
      <c r="F3" s="107">
        <f t="shared" si="0"/>
        <v>19473</v>
      </c>
      <c r="G3" s="107">
        <f t="shared" si="0"/>
        <v>1159</v>
      </c>
      <c r="H3" s="107">
        <f t="shared" si="0"/>
        <v>19516.769999999997</v>
      </c>
      <c r="I3" s="107"/>
      <c r="J3" s="107">
        <f>SUM(J4:J15)</f>
        <v>1663.5000000000002</v>
      </c>
      <c r="K3" s="107">
        <f t="shared" ref="K3:P3" si="1">SUM(K4:K15)</f>
        <v>1693.6</v>
      </c>
      <c r="L3" s="107">
        <f t="shared" si="1"/>
        <v>1818.6999999999998</v>
      </c>
      <c r="M3" s="107">
        <f t="shared" si="1"/>
        <v>1713.3999999999999</v>
      </c>
      <c r="N3" s="107">
        <f t="shared" si="1"/>
        <v>0</v>
      </c>
      <c r="O3" s="107">
        <f t="shared" si="1"/>
        <v>0</v>
      </c>
      <c r="P3" s="107">
        <f t="shared" si="1"/>
        <v>1722.3</v>
      </c>
      <c r="Q3" s="34"/>
      <c r="R3" s="107">
        <f>SUM(R4:R15)</f>
        <v>116.30000000000001</v>
      </c>
      <c r="S3" s="107">
        <f>SUM(S4:S15)</f>
        <v>132.79999999999998</v>
      </c>
      <c r="T3" s="107">
        <f>SUM(T4:T15)</f>
        <v>130.1</v>
      </c>
      <c r="U3" s="107">
        <f>SUM(U4:U15)</f>
        <v>123.69999999999999</v>
      </c>
      <c r="V3" s="107">
        <f>SUM(V4:V15)</f>
        <v>0</v>
      </c>
      <c r="W3" s="107">
        <f t="shared" ref="W3:X3" si="2">SUM(W4:W15)</f>
        <v>0</v>
      </c>
      <c r="X3" s="107">
        <f t="shared" si="2"/>
        <v>125.72500000000002</v>
      </c>
      <c r="Y3" s="34"/>
      <c r="Z3" s="107">
        <f>SUM(Z4:Z15)</f>
        <v>590.80000000000018</v>
      </c>
      <c r="AA3" s="107">
        <f>SUM(AA4:AA15)</f>
        <v>523.69999999999993</v>
      </c>
      <c r="AB3" s="107">
        <f>SUM(AB4:AB15)</f>
        <v>376.40000000000009</v>
      </c>
      <c r="AC3" s="107">
        <f>SUM(AC4:AC15)</f>
        <v>603.20000000000005</v>
      </c>
      <c r="AD3" s="107">
        <f>SUM(AD4:AD15)</f>
        <v>0</v>
      </c>
      <c r="AE3" s="107">
        <f t="shared" ref="AE3:AF3" si="3">SUM(AE4:AE15)</f>
        <v>0</v>
      </c>
      <c r="AF3" s="107">
        <f t="shared" si="3"/>
        <v>523.52499999999998</v>
      </c>
      <c r="AH3" s="33">
        <v>2016</v>
      </c>
      <c r="AI3" s="33" t="s">
        <v>65</v>
      </c>
      <c r="AJ3" s="34">
        <f>SUM(AJ4:AJ15)</f>
        <v>3866.9369999999999</v>
      </c>
      <c r="AL3" s="33">
        <f>AJ3*18/4</f>
        <v>17401.216499999999</v>
      </c>
    </row>
    <row r="4" spans="1:38" x14ac:dyDescent="0.25">
      <c r="A4">
        <v>1</v>
      </c>
      <c r="B4" s="56"/>
      <c r="C4" s="56">
        <v>310.00000000000006</v>
      </c>
      <c r="D4" s="56">
        <v>246.94999999999709</v>
      </c>
      <c r="E4" s="56">
        <v>297.79000000000087</v>
      </c>
      <c r="F4" s="56">
        <v>317</v>
      </c>
      <c r="G4" s="56">
        <v>280</v>
      </c>
      <c r="H4" s="56">
        <f>AVERAGE(B4:G4)</f>
        <v>290.34799999999962</v>
      </c>
      <c r="I4" s="56"/>
      <c r="J4" s="56">
        <v>26.7</v>
      </c>
      <c r="K4" s="56">
        <v>53.1</v>
      </c>
      <c r="L4" s="56">
        <v>33.5</v>
      </c>
      <c r="M4" s="56">
        <v>46.8</v>
      </c>
      <c r="N4" s="56"/>
      <c r="O4" s="56"/>
      <c r="P4" s="56">
        <f>AVERAGE(J4:O4)</f>
        <v>40.024999999999999</v>
      </c>
      <c r="R4" s="56">
        <v>-1.7</v>
      </c>
      <c r="S4" s="56">
        <v>1.3</v>
      </c>
      <c r="T4" s="56">
        <v>1.3</v>
      </c>
      <c r="U4" s="56">
        <v>-1.6</v>
      </c>
      <c r="V4" s="56"/>
      <c r="W4" s="56"/>
      <c r="X4" s="56">
        <f t="shared" ref="X4:X15" si="4">AVERAGE(R4:W4)</f>
        <v>-0.17499999999999999</v>
      </c>
      <c r="Z4" s="56">
        <v>26.5</v>
      </c>
      <c r="AA4" s="56">
        <v>33.5</v>
      </c>
      <c r="AB4" s="56">
        <v>42.6</v>
      </c>
      <c r="AC4" s="56">
        <v>23</v>
      </c>
      <c r="AD4" s="56"/>
      <c r="AE4" s="56"/>
      <c r="AF4" s="56">
        <f t="shared" ref="AF4:AF15" si="5">AVERAGE(Z4:AE4)</f>
        <v>31.4</v>
      </c>
      <c r="AH4">
        <v>2016</v>
      </c>
      <c r="AI4" t="s">
        <v>65</v>
      </c>
      <c r="AJ4">
        <v>596.23500000000001</v>
      </c>
    </row>
    <row r="5" spans="1:38" x14ac:dyDescent="0.25">
      <c r="A5">
        <v>2</v>
      </c>
      <c r="B5" s="56"/>
      <c r="C5" s="56">
        <v>844.13999999999987</v>
      </c>
      <c r="D5" s="56">
        <v>877.43000000000029</v>
      </c>
      <c r="E5" s="56">
        <v>689.30999999999767</v>
      </c>
      <c r="F5" s="56">
        <v>767</v>
      </c>
      <c r="G5" s="56">
        <v>879</v>
      </c>
      <c r="H5" s="56">
        <f t="shared" ref="H5:H15" si="6">AVERAGE(B5:G5)</f>
        <v>811.37599999999952</v>
      </c>
      <c r="I5" s="56"/>
      <c r="J5" s="56">
        <v>41.5</v>
      </c>
      <c r="K5" s="56">
        <v>78.099999999999994</v>
      </c>
      <c r="L5" s="56">
        <v>89.9</v>
      </c>
      <c r="M5" s="56">
        <v>52.3</v>
      </c>
      <c r="N5" s="56"/>
      <c r="O5" s="56"/>
      <c r="P5" s="56">
        <f t="shared" ref="P5:P15" si="7">AVERAGE(J5:O5)</f>
        <v>65.45</v>
      </c>
      <c r="R5" s="56">
        <v>0.4</v>
      </c>
      <c r="S5" s="56">
        <v>3.4</v>
      </c>
      <c r="T5" s="56">
        <v>1.2</v>
      </c>
      <c r="U5" s="56">
        <v>4.9000000000000004</v>
      </c>
      <c r="V5" s="56"/>
      <c r="W5" s="56"/>
      <c r="X5" s="56">
        <f t="shared" si="4"/>
        <v>2.4750000000000001</v>
      </c>
      <c r="Z5" s="56">
        <v>32.4</v>
      </c>
      <c r="AA5" s="56">
        <v>14.1</v>
      </c>
      <c r="AB5" s="56">
        <v>10.1</v>
      </c>
      <c r="AC5" s="56">
        <v>74.5</v>
      </c>
      <c r="AD5" s="56"/>
      <c r="AE5" s="56"/>
      <c r="AF5" s="56">
        <f t="shared" si="5"/>
        <v>32.774999999999999</v>
      </c>
      <c r="AI5" t="s">
        <v>66</v>
      </c>
      <c r="AJ5">
        <v>501.47500000000002</v>
      </c>
    </row>
    <row r="6" spans="1:38" x14ac:dyDescent="0.25">
      <c r="A6">
        <v>3</v>
      </c>
      <c r="B6" s="56"/>
      <c r="C6" s="56">
        <v>2347.91</v>
      </c>
      <c r="D6" s="56">
        <v>1735.6900000000023</v>
      </c>
      <c r="E6" s="56">
        <v>1370.6200000000026</v>
      </c>
      <c r="F6" s="56">
        <v>2142</v>
      </c>
      <c r="G6" s="56"/>
      <c r="H6" s="56">
        <f t="shared" si="6"/>
        <v>1899.0550000000012</v>
      </c>
      <c r="I6" s="56"/>
      <c r="J6" s="56">
        <v>101.6</v>
      </c>
      <c r="K6" s="56">
        <v>191.8</v>
      </c>
      <c r="L6" s="56">
        <v>141.9</v>
      </c>
      <c r="M6" s="56">
        <v>89.5</v>
      </c>
      <c r="N6" s="56"/>
      <c r="O6" s="56"/>
      <c r="P6" s="56">
        <f t="shared" si="7"/>
        <v>131.19999999999999</v>
      </c>
      <c r="R6" s="56">
        <v>1.1000000000000001</v>
      </c>
      <c r="S6" s="56">
        <v>8.1</v>
      </c>
      <c r="T6" s="56">
        <v>5.5</v>
      </c>
      <c r="U6" s="56">
        <v>5.2</v>
      </c>
      <c r="V6" s="56"/>
      <c r="W6" s="56"/>
      <c r="X6" s="56">
        <f t="shared" si="4"/>
        <v>4.9749999999999996</v>
      </c>
      <c r="Z6" s="56">
        <v>48.3</v>
      </c>
      <c r="AA6" s="56">
        <v>19.8</v>
      </c>
      <c r="AB6" s="56">
        <v>43.3</v>
      </c>
      <c r="AC6" s="56">
        <v>21.8</v>
      </c>
      <c r="AD6" s="56"/>
      <c r="AE6" s="56"/>
      <c r="AF6" s="56">
        <f t="shared" si="5"/>
        <v>33.299999999999997</v>
      </c>
      <c r="AI6" t="s">
        <v>67</v>
      </c>
      <c r="AJ6">
        <v>177.619</v>
      </c>
      <c r="AL6" s="56"/>
    </row>
    <row r="7" spans="1:38" x14ac:dyDescent="0.25">
      <c r="A7">
        <v>4</v>
      </c>
      <c r="B7" s="56"/>
      <c r="C7" s="56">
        <v>2742.58</v>
      </c>
      <c r="D7" s="56">
        <v>2876.1899999999987</v>
      </c>
      <c r="E7" s="56">
        <v>2543.7799999999988</v>
      </c>
      <c r="F7" s="56">
        <v>1979</v>
      </c>
      <c r="G7" s="56"/>
      <c r="H7" s="56">
        <f t="shared" si="6"/>
        <v>2535.3874999999994</v>
      </c>
      <c r="I7" s="56"/>
      <c r="J7" s="56">
        <v>168.8</v>
      </c>
      <c r="K7" s="56">
        <v>188.6</v>
      </c>
      <c r="L7" s="56">
        <v>230.7</v>
      </c>
      <c r="M7" s="56">
        <v>185.5</v>
      </c>
      <c r="N7" s="56"/>
      <c r="O7" s="56"/>
      <c r="P7" s="56">
        <f t="shared" si="7"/>
        <v>193.39999999999998</v>
      </c>
      <c r="R7" s="56">
        <v>10.3</v>
      </c>
      <c r="S7" s="56">
        <v>11.5</v>
      </c>
      <c r="T7" s="56">
        <v>9.8000000000000007</v>
      </c>
      <c r="U7" s="56">
        <v>9.6999999999999993</v>
      </c>
      <c r="V7" s="56"/>
      <c r="W7" s="56"/>
      <c r="X7" s="56">
        <f t="shared" si="4"/>
        <v>10.324999999999999</v>
      </c>
      <c r="Z7" s="56">
        <v>28.3</v>
      </c>
      <c r="AA7" s="56">
        <v>34.1</v>
      </c>
      <c r="AB7" s="56">
        <v>21.4</v>
      </c>
      <c r="AC7" s="56">
        <v>56.9</v>
      </c>
      <c r="AD7" s="56"/>
      <c r="AE7" s="56"/>
      <c r="AF7" s="56">
        <f t="shared" si="5"/>
        <v>35.175000000000004</v>
      </c>
      <c r="AI7" t="s">
        <v>68</v>
      </c>
      <c r="AJ7">
        <v>273.33499999999998</v>
      </c>
    </row>
    <row r="8" spans="1:38" x14ac:dyDescent="0.25">
      <c r="A8">
        <v>5</v>
      </c>
      <c r="B8" s="56"/>
      <c r="C8" s="56">
        <v>2099.34</v>
      </c>
      <c r="D8" s="56">
        <v>2131.5800000000017</v>
      </c>
      <c r="E8" s="56">
        <v>2613</v>
      </c>
      <c r="F8" s="56">
        <v>3396.7100000000064</v>
      </c>
      <c r="G8" s="56"/>
      <c r="H8" s="56">
        <f t="shared" si="6"/>
        <v>2560.1575000000021</v>
      </c>
      <c r="I8" s="56"/>
      <c r="J8" s="56">
        <v>165.5</v>
      </c>
      <c r="K8" s="56">
        <v>204.4</v>
      </c>
      <c r="L8" s="56">
        <v>178.3</v>
      </c>
      <c r="M8" s="56">
        <v>231.5</v>
      </c>
      <c r="N8" s="56"/>
      <c r="O8" s="56"/>
      <c r="P8" s="56">
        <f t="shared" si="7"/>
        <v>194.92500000000001</v>
      </c>
      <c r="R8" s="56">
        <v>14.6</v>
      </c>
      <c r="S8" s="56">
        <v>14.4</v>
      </c>
      <c r="T8" s="56">
        <v>14.1</v>
      </c>
      <c r="U8" s="56">
        <v>15.6</v>
      </c>
      <c r="V8" s="56"/>
      <c r="W8" s="56"/>
      <c r="X8" s="56">
        <f t="shared" si="4"/>
        <v>14.675000000000001</v>
      </c>
      <c r="Z8" s="56">
        <v>82.3</v>
      </c>
      <c r="AA8" s="56">
        <v>45.3</v>
      </c>
      <c r="AB8" s="56">
        <v>45.7</v>
      </c>
      <c r="AC8" s="56">
        <v>36.299999999999997</v>
      </c>
      <c r="AD8" s="56"/>
      <c r="AE8" s="56"/>
      <c r="AF8" s="56">
        <f t="shared" si="5"/>
        <v>52.400000000000006</v>
      </c>
      <c r="AI8" t="s">
        <v>69</v>
      </c>
      <c r="AJ8">
        <v>281.08999999999997</v>
      </c>
    </row>
    <row r="9" spans="1:38" x14ac:dyDescent="0.25">
      <c r="A9">
        <v>6</v>
      </c>
      <c r="B9" s="56"/>
      <c r="C9" s="56">
        <v>2698.0499999999993</v>
      </c>
      <c r="D9" s="56">
        <v>2824.2199999999975</v>
      </c>
      <c r="E9" s="56">
        <v>2713.6800000000003</v>
      </c>
      <c r="F9" s="56">
        <v>2266.179999999993</v>
      </c>
      <c r="G9" s="56"/>
      <c r="H9" s="56">
        <f t="shared" si="6"/>
        <v>2625.5324999999975</v>
      </c>
      <c r="I9" s="56"/>
      <c r="J9" s="56">
        <v>201.2</v>
      </c>
      <c r="K9" s="56">
        <v>255.7</v>
      </c>
      <c r="L9" s="56">
        <v>238.9</v>
      </c>
      <c r="M9" s="56">
        <v>265.5</v>
      </c>
      <c r="N9" s="56"/>
      <c r="O9" s="56"/>
      <c r="P9" s="56">
        <f t="shared" si="7"/>
        <v>240.32499999999999</v>
      </c>
      <c r="R9" s="56">
        <v>18</v>
      </c>
      <c r="S9" s="56">
        <v>18.399999999999999</v>
      </c>
      <c r="T9" s="56">
        <v>18.5</v>
      </c>
      <c r="U9" s="56">
        <v>19.899999999999999</v>
      </c>
      <c r="V9" s="56"/>
      <c r="W9" s="56"/>
      <c r="X9" s="56">
        <f t="shared" si="4"/>
        <v>18.7</v>
      </c>
      <c r="Z9" s="56">
        <v>133.9</v>
      </c>
      <c r="AA9" s="56">
        <v>40.1</v>
      </c>
      <c r="AB9" s="56">
        <v>43.3</v>
      </c>
      <c r="AC9" s="56">
        <v>37.9</v>
      </c>
      <c r="AD9" s="56"/>
      <c r="AE9" s="56"/>
      <c r="AF9" s="56">
        <f t="shared" si="5"/>
        <v>63.800000000000004</v>
      </c>
      <c r="AI9" t="s">
        <v>70</v>
      </c>
      <c r="AJ9">
        <v>271.09100000000001</v>
      </c>
    </row>
    <row r="10" spans="1:38" x14ac:dyDescent="0.25">
      <c r="A10">
        <v>7</v>
      </c>
      <c r="B10" s="56"/>
      <c r="C10" s="56">
        <v>2719.8000000000011</v>
      </c>
      <c r="D10" s="56">
        <v>3339.4500000000007</v>
      </c>
      <c r="E10" s="56">
        <v>2647.1299999999974</v>
      </c>
      <c r="F10" s="56">
        <v>2773.7299999999959</v>
      </c>
      <c r="G10" s="56"/>
      <c r="H10" s="56">
        <f t="shared" si="6"/>
        <v>2870.0274999999988</v>
      </c>
      <c r="I10" s="56"/>
      <c r="J10" s="56">
        <v>340.7</v>
      </c>
      <c r="K10" s="56">
        <v>253.4</v>
      </c>
      <c r="L10" s="56">
        <v>289.2</v>
      </c>
      <c r="M10" s="56">
        <v>227.6</v>
      </c>
      <c r="N10" s="56"/>
      <c r="O10" s="56"/>
      <c r="P10" s="56">
        <f t="shared" si="7"/>
        <v>277.72499999999997</v>
      </c>
      <c r="R10" s="56">
        <v>21.9</v>
      </c>
      <c r="S10" s="56">
        <v>21.5</v>
      </c>
      <c r="T10" s="56">
        <v>22.4</v>
      </c>
      <c r="U10" s="56">
        <v>20.7</v>
      </c>
      <c r="V10" s="56"/>
      <c r="W10" s="56"/>
      <c r="X10" s="56">
        <f t="shared" si="4"/>
        <v>21.625</v>
      </c>
      <c r="Z10" s="56">
        <v>1.9</v>
      </c>
      <c r="AA10" s="56">
        <v>91.9</v>
      </c>
      <c r="AB10" s="56">
        <v>35.200000000000003</v>
      </c>
      <c r="AC10" s="56">
        <v>168.5</v>
      </c>
      <c r="AD10" s="56"/>
      <c r="AE10" s="56"/>
      <c r="AF10" s="56">
        <f t="shared" si="5"/>
        <v>74.375</v>
      </c>
      <c r="AI10" t="s">
        <v>71</v>
      </c>
      <c r="AJ10">
        <v>178.13200000000001</v>
      </c>
    </row>
    <row r="11" spans="1:38" x14ac:dyDescent="0.25">
      <c r="A11">
        <v>8</v>
      </c>
      <c r="B11" s="56"/>
      <c r="C11" s="56">
        <v>2222.4899999999998</v>
      </c>
      <c r="D11" s="56">
        <v>2341.6299999999974</v>
      </c>
      <c r="E11" s="56">
        <v>2613.9599999999991</v>
      </c>
      <c r="F11" s="56">
        <v>2741.1600000000035</v>
      </c>
      <c r="G11" s="56"/>
      <c r="H11" s="56">
        <f t="shared" si="6"/>
        <v>2479.81</v>
      </c>
      <c r="I11" s="56"/>
      <c r="J11" s="56">
        <v>269.89999999999998</v>
      </c>
      <c r="K11" s="56">
        <v>177</v>
      </c>
      <c r="L11" s="56">
        <v>285.60000000000002</v>
      </c>
      <c r="M11" s="56">
        <v>226.5</v>
      </c>
      <c r="N11" s="56"/>
      <c r="O11" s="56"/>
      <c r="P11" s="56">
        <f t="shared" si="7"/>
        <v>239.75</v>
      </c>
      <c r="R11" s="56">
        <v>20.2</v>
      </c>
      <c r="S11" s="56">
        <v>17.8</v>
      </c>
      <c r="T11" s="56">
        <v>23.5</v>
      </c>
      <c r="U11" s="56">
        <v>19</v>
      </c>
      <c r="V11" s="56"/>
      <c r="W11" s="56"/>
      <c r="X11" s="56">
        <f t="shared" si="4"/>
        <v>20.125</v>
      </c>
      <c r="Z11" s="56">
        <v>87.3</v>
      </c>
      <c r="AA11" s="56">
        <v>90.6</v>
      </c>
      <c r="AB11" s="56">
        <v>42.1</v>
      </c>
      <c r="AC11" s="56">
        <v>59.8</v>
      </c>
      <c r="AD11" s="56"/>
      <c r="AE11" s="56"/>
      <c r="AF11" s="56">
        <f t="shared" si="5"/>
        <v>69.949999999999989</v>
      </c>
      <c r="AI11" t="s">
        <v>72</v>
      </c>
      <c r="AJ11">
        <v>110.39700000000001</v>
      </c>
    </row>
    <row r="12" spans="1:38" x14ac:dyDescent="0.25">
      <c r="A12">
        <v>9</v>
      </c>
      <c r="B12" s="56"/>
      <c r="C12" s="56">
        <v>1826.2099999999991</v>
      </c>
      <c r="D12" s="56">
        <v>2273.3400000000038</v>
      </c>
      <c r="E12" s="56">
        <v>2508.2300000000032</v>
      </c>
      <c r="F12" s="56">
        <v>1464.7700000000041</v>
      </c>
      <c r="G12" s="56"/>
      <c r="H12" s="56">
        <f t="shared" si="6"/>
        <v>2018.1375000000025</v>
      </c>
      <c r="I12" s="56"/>
      <c r="J12" s="56">
        <v>134.4</v>
      </c>
      <c r="K12" s="56">
        <v>145.30000000000001</v>
      </c>
      <c r="L12" s="56">
        <v>152.80000000000001</v>
      </c>
      <c r="M12" s="56">
        <v>239</v>
      </c>
      <c r="N12" s="56"/>
      <c r="O12" s="56"/>
      <c r="P12" s="56">
        <f t="shared" si="7"/>
        <v>167.875</v>
      </c>
      <c r="R12" s="56">
        <v>13.4</v>
      </c>
      <c r="S12" s="56">
        <v>15.8</v>
      </c>
      <c r="T12" s="56">
        <v>15.9</v>
      </c>
      <c r="U12" s="56">
        <v>17.5</v>
      </c>
      <c r="V12" s="56"/>
      <c r="W12" s="56"/>
      <c r="X12" s="56">
        <f t="shared" si="4"/>
        <v>15.65</v>
      </c>
      <c r="Z12" s="56">
        <v>64.400000000000006</v>
      </c>
      <c r="AA12" s="56">
        <v>74.599999999999994</v>
      </c>
      <c r="AB12" s="56">
        <v>23.1</v>
      </c>
      <c r="AC12" s="56">
        <v>40.799999999999997</v>
      </c>
      <c r="AD12" s="56"/>
      <c r="AE12" s="56"/>
      <c r="AF12" s="56">
        <f t="shared" si="5"/>
        <v>50.724999999999994</v>
      </c>
      <c r="AI12" t="s">
        <v>73</v>
      </c>
      <c r="AJ12">
        <v>160.642</v>
      </c>
    </row>
    <row r="13" spans="1:38" x14ac:dyDescent="0.25">
      <c r="A13">
        <v>10</v>
      </c>
      <c r="B13" s="56"/>
      <c r="C13" s="56">
        <v>963.97999999999956</v>
      </c>
      <c r="D13" s="56">
        <v>699.58999999999651</v>
      </c>
      <c r="E13" s="56">
        <v>659</v>
      </c>
      <c r="F13" s="56">
        <v>976.39999999999418</v>
      </c>
      <c r="G13" s="56"/>
      <c r="H13" s="56">
        <f t="shared" si="6"/>
        <v>824.74249999999756</v>
      </c>
      <c r="I13" s="56"/>
      <c r="J13" s="56">
        <v>127.9</v>
      </c>
      <c r="K13" s="56">
        <v>72.599999999999994</v>
      </c>
      <c r="L13" s="56">
        <v>74</v>
      </c>
      <c r="M13" s="56">
        <v>51.3</v>
      </c>
      <c r="N13" s="56"/>
      <c r="O13" s="56"/>
      <c r="P13" s="56">
        <f t="shared" si="7"/>
        <v>81.45</v>
      </c>
      <c r="R13" s="56">
        <v>10.4</v>
      </c>
      <c r="S13" s="56">
        <v>10.8</v>
      </c>
      <c r="T13" s="56">
        <v>9.1</v>
      </c>
      <c r="U13" s="56">
        <v>8.9</v>
      </c>
      <c r="V13" s="56"/>
      <c r="W13" s="56"/>
      <c r="X13" s="56">
        <f t="shared" si="4"/>
        <v>9.8000000000000007</v>
      </c>
      <c r="Z13" s="56">
        <v>44.2</v>
      </c>
      <c r="AA13" s="56">
        <v>28.7</v>
      </c>
      <c r="AB13" s="56">
        <v>28.3</v>
      </c>
      <c r="AC13" s="56">
        <v>35.700000000000003</v>
      </c>
      <c r="AD13" s="56"/>
      <c r="AE13" s="56"/>
      <c r="AF13" s="56">
        <f t="shared" si="5"/>
        <v>34.225000000000001</v>
      </c>
      <c r="AH13">
        <v>2017</v>
      </c>
      <c r="AI13" t="s">
        <v>74</v>
      </c>
      <c r="AJ13">
        <v>258.51</v>
      </c>
    </row>
    <row r="14" spans="1:38" x14ac:dyDescent="0.25">
      <c r="A14">
        <v>11</v>
      </c>
      <c r="B14" s="56">
        <v>61.85</v>
      </c>
      <c r="C14" s="56">
        <v>375.29000000000087</v>
      </c>
      <c r="D14" s="56">
        <v>516.04000000000087</v>
      </c>
      <c r="E14" s="56">
        <v>468</v>
      </c>
      <c r="F14" s="56">
        <v>480.05000000000291</v>
      </c>
      <c r="G14" s="56"/>
      <c r="H14" s="56">
        <f t="shared" si="6"/>
        <v>380.24600000000089</v>
      </c>
      <c r="I14" s="56"/>
      <c r="J14" s="56">
        <v>43.2</v>
      </c>
      <c r="K14" s="56">
        <v>32.6</v>
      </c>
      <c r="L14" s="56">
        <v>70.3</v>
      </c>
      <c r="M14" s="56">
        <v>43.8</v>
      </c>
      <c r="N14" s="56"/>
      <c r="O14" s="56"/>
      <c r="P14" s="56">
        <f t="shared" si="7"/>
        <v>47.475000000000009</v>
      </c>
      <c r="R14" s="56">
        <v>5.5</v>
      </c>
      <c r="S14" s="56">
        <v>7.4</v>
      </c>
      <c r="T14" s="56">
        <v>5.9</v>
      </c>
      <c r="U14" s="56">
        <v>4.3</v>
      </c>
      <c r="V14" s="56"/>
      <c r="W14" s="56"/>
      <c r="X14" s="56">
        <f t="shared" si="4"/>
        <v>5.7750000000000004</v>
      </c>
      <c r="Z14" s="56">
        <v>29.1</v>
      </c>
      <c r="AA14" s="56">
        <v>18.899999999999999</v>
      </c>
      <c r="AB14" s="56">
        <v>24.3</v>
      </c>
      <c r="AC14" s="56">
        <v>39.799999999999997</v>
      </c>
      <c r="AD14" s="56"/>
      <c r="AE14" s="56"/>
      <c r="AF14" s="56">
        <f t="shared" si="5"/>
        <v>28.024999999999999</v>
      </c>
      <c r="AI14" t="s">
        <v>75</v>
      </c>
      <c r="AJ14">
        <v>311.27699999999999</v>
      </c>
    </row>
    <row r="15" spans="1:38" x14ac:dyDescent="0.25">
      <c r="A15">
        <v>12</v>
      </c>
      <c r="B15" s="56">
        <v>328.09</v>
      </c>
      <c r="C15" s="56">
        <v>252.76000000000204</v>
      </c>
      <c r="D15" s="56">
        <v>187.90000000000146</v>
      </c>
      <c r="E15" s="56">
        <v>172</v>
      </c>
      <c r="F15" s="56">
        <v>169</v>
      </c>
      <c r="G15" s="56"/>
      <c r="H15" s="56">
        <f t="shared" si="6"/>
        <v>221.95000000000067</v>
      </c>
      <c r="I15" s="56"/>
      <c r="J15" s="56">
        <v>42.1</v>
      </c>
      <c r="K15" s="56">
        <v>41</v>
      </c>
      <c r="L15" s="56">
        <v>33.6</v>
      </c>
      <c r="M15" s="56">
        <v>54.1</v>
      </c>
      <c r="N15" s="56"/>
      <c r="O15" s="56"/>
      <c r="P15" s="56">
        <f t="shared" si="7"/>
        <v>42.699999999999996</v>
      </c>
      <c r="R15" s="56">
        <v>2.2000000000000002</v>
      </c>
      <c r="S15" s="56">
        <v>2.4</v>
      </c>
      <c r="T15" s="56">
        <v>2.9</v>
      </c>
      <c r="U15" s="56">
        <v>-0.4</v>
      </c>
      <c r="V15" s="56"/>
      <c r="W15" s="56"/>
      <c r="X15" s="56">
        <f t="shared" si="4"/>
        <v>1.7749999999999999</v>
      </c>
      <c r="Z15" s="56">
        <v>12.2</v>
      </c>
      <c r="AA15" s="56">
        <v>32.1</v>
      </c>
      <c r="AB15" s="56">
        <v>17</v>
      </c>
      <c r="AC15" s="56">
        <v>8.1999999999999993</v>
      </c>
      <c r="AD15" s="56"/>
      <c r="AE15" s="56"/>
      <c r="AF15" s="56">
        <f t="shared" si="5"/>
        <v>17.375</v>
      </c>
      <c r="AI15" t="s">
        <v>76</v>
      </c>
      <c r="AJ15">
        <v>747.13400000000001</v>
      </c>
    </row>
    <row r="16" spans="1:38" x14ac:dyDescent="0.25">
      <c r="A16" s="4" t="s">
        <v>120</v>
      </c>
      <c r="B16" s="106">
        <f>B3</f>
        <v>389.94</v>
      </c>
      <c r="C16" s="106">
        <f>C3+B16</f>
        <v>19792.489999999998</v>
      </c>
      <c r="D16" s="106">
        <f t="shared" ref="D16" si="8">D3</f>
        <v>20050.009999999998</v>
      </c>
      <c r="E16" s="106">
        <f t="shared" ref="E16" si="9">E3+D16</f>
        <v>39346.509999999995</v>
      </c>
      <c r="F16" s="106">
        <f t="shared" ref="F16" si="10">F3</f>
        <v>19473</v>
      </c>
      <c r="G16" s="106">
        <f t="shared" ref="G16" si="11">G3+F16</f>
        <v>20632</v>
      </c>
      <c r="H16" s="106"/>
      <c r="I16" s="68"/>
      <c r="J16" s="106">
        <f>J3</f>
        <v>1663.5000000000002</v>
      </c>
      <c r="K16" s="106">
        <f>K3+J16</f>
        <v>3357.1000000000004</v>
      </c>
      <c r="L16" s="106">
        <f t="shared" ref="L16" si="12">L3</f>
        <v>1818.6999999999998</v>
      </c>
      <c r="M16" s="106">
        <f t="shared" ref="M16" si="13">M3+L16</f>
        <v>3532.0999999999995</v>
      </c>
      <c r="N16" s="106">
        <f t="shared" ref="N16" si="14">N3</f>
        <v>0</v>
      </c>
      <c r="O16" s="106">
        <f t="shared" ref="O16" si="15">O3+N16</f>
        <v>0</v>
      </c>
      <c r="P16" s="106"/>
      <c r="R16" s="106">
        <f>R3</f>
        <v>116.30000000000001</v>
      </c>
      <c r="S16" s="106">
        <f>S3+R16</f>
        <v>249.1</v>
      </c>
      <c r="T16" s="106">
        <f t="shared" ref="T16" si="16">T3</f>
        <v>130.1</v>
      </c>
      <c r="U16" s="106">
        <f t="shared" ref="U16" si="17">U3+T16</f>
        <v>253.79999999999998</v>
      </c>
      <c r="V16" s="106">
        <f t="shared" ref="V16" si="18">V3</f>
        <v>0</v>
      </c>
      <c r="W16" s="106">
        <f t="shared" ref="W16" si="19">W3+V16</f>
        <v>0</v>
      </c>
      <c r="X16" s="106"/>
      <c r="Z16" s="106">
        <f>Z3</f>
        <v>590.80000000000018</v>
      </c>
      <c r="AA16" s="106">
        <f>AA3+Z16</f>
        <v>1114.5</v>
      </c>
      <c r="AB16" s="106">
        <f t="shared" ref="AB16" si="20">AB3</f>
        <v>376.40000000000009</v>
      </c>
      <c r="AC16" s="106">
        <f t="shared" ref="AC16" si="21">AC3+AB16</f>
        <v>979.60000000000014</v>
      </c>
      <c r="AD16" s="106">
        <f t="shared" ref="AD16" si="22">AD3</f>
        <v>0</v>
      </c>
      <c r="AE16" s="106">
        <f t="shared" ref="AE16" si="23">AE3+AD16</f>
        <v>0</v>
      </c>
      <c r="AF16" s="106"/>
    </row>
    <row r="17" spans="5:32" x14ac:dyDescent="0.25">
      <c r="E17" s="68"/>
      <c r="F17" s="68"/>
      <c r="G17" s="68"/>
      <c r="H17" s="68"/>
      <c r="I17" s="68"/>
      <c r="J17" s="68"/>
      <c r="K17" s="68"/>
      <c r="L17" s="68"/>
      <c r="P17" s="68"/>
      <c r="R17" s="68"/>
      <c r="S17" s="68"/>
      <c r="T17" s="68"/>
      <c r="U17" s="68"/>
      <c r="V17" s="68"/>
      <c r="W17" s="68"/>
      <c r="X17" s="68"/>
      <c r="Z17" s="68"/>
      <c r="AA17" s="68"/>
      <c r="AB17" s="68"/>
      <c r="AC17" s="68"/>
      <c r="AD17" s="68"/>
      <c r="AE17" s="68"/>
      <c r="AF17" s="68"/>
    </row>
    <row r="18" spans="5:32" x14ac:dyDescent="0.25">
      <c r="E18" s="68"/>
      <c r="F18" s="108" t="s">
        <v>124</v>
      </c>
      <c r="G18" s="108"/>
      <c r="H18" s="108"/>
      <c r="I18" s="108"/>
      <c r="J18" s="109">
        <f>PEARSON(B4:E15,J4:M15)</f>
        <v>0.96333830663686859</v>
      </c>
      <c r="K18" s="68"/>
      <c r="L18" s="68"/>
      <c r="P18" s="68"/>
      <c r="R18" s="109">
        <f>PEARSON(B4:E15,R4:U15)</f>
        <v>0.85104757736077807</v>
      </c>
      <c r="S18" s="68"/>
      <c r="T18" s="68"/>
      <c r="U18" s="68"/>
      <c r="V18" s="68"/>
      <c r="W18" s="68"/>
      <c r="X18" s="68"/>
      <c r="Z18" s="109">
        <f>PEARSON(B4:E15,Z4:AC15)</f>
        <v>0.39776869511392388</v>
      </c>
      <c r="AA18" s="68"/>
      <c r="AB18" s="68"/>
      <c r="AC18" s="68"/>
      <c r="AD18" s="68"/>
      <c r="AE18" s="68"/>
      <c r="AF18" s="68"/>
    </row>
    <row r="19" spans="5:32" x14ac:dyDescent="0.25">
      <c r="E19" s="68"/>
      <c r="F19" s="68"/>
      <c r="G19" s="68"/>
      <c r="H19" s="68"/>
      <c r="I19" s="68"/>
      <c r="J19" s="68"/>
      <c r="K19" s="68"/>
      <c r="L19" s="68"/>
      <c r="P19" s="68"/>
    </row>
    <row r="20" spans="5:32" x14ac:dyDescent="0.25">
      <c r="E20" s="68"/>
      <c r="F20" s="68"/>
      <c r="G20" s="68"/>
      <c r="H20" s="68"/>
      <c r="I20" s="68"/>
      <c r="J20" s="68"/>
      <c r="K20" s="68"/>
      <c r="L20" s="68"/>
      <c r="P20" s="68"/>
    </row>
    <row r="21" spans="5:32" x14ac:dyDescent="0.25">
      <c r="E21" s="68"/>
      <c r="F21" s="68"/>
      <c r="G21" s="68"/>
      <c r="H21" s="68"/>
      <c r="I21" s="68"/>
      <c r="J21" s="68"/>
      <c r="K21" s="68"/>
      <c r="L21" s="68"/>
      <c r="P21" s="68"/>
    </row>
    <row r="22" spans="5:32" x14ac:dyDescent="0.25">
      <c r="E22" s="68"/>
      <c r="F22" s="68"/>
      <c r="G22" s="68"/>
      <c r="H22" s="68"/>
      <c r="I22" s="68"/>
      <c r="J22" s="68"/>
      <c r="K22" s="68"/>
      <c r="L22" s="68"/>
      <c r="P22" s="68"/>
    </row>
    <row r="23" spans="5:32" x14ac:dyDescent="0.25">
      <c r="E23" s="68"/>
      <c r="F23" s="68"/>
      <c r="G23" s="68"/>
      <c r="H23" s="68"/>
      <c r="I23" s="68"/>
      <c r="J23" s="68"/>
      <c r="K23" s="68"/>
      <c r="L23" s="68"/>
      <c r="P23" s="68"/>
    </row>
    <row r="24" spans="5:32" x14ac:dyDescent="0.25">
      <c r="E24" s="68"/>
      <c r="F24" s="68"/>
      <c r="G24" s="68"/>
      <c r="H24" s="68"/>
      <c r="I24" s="68"/>
      <c r="J24" s="68"/>
      <c r="K24" s="68"/>
      <c r="L24" s="68"/>
      <c r="P24" s="68"/>
    </row>
    <row r="25" spans="5:32" x14ac:dyDescent="0.25">
      <c r="E25" s="68"/>
      <c r="F25" s="68"/>
      <c r="G25" s="68"/>
      <c r="H25" s="68"/>
      <c r="I25" s="68"/>
      <c r="J25" s="68"/>
      <c r="K25" s="68"/>
      <c r="L25" s="68"/>
      <c r="P25" s="68"/>
    </row>
    <row r="26" spans="5:32" x14ac:dyDescent="0.25">
      <c r="E26" s="68"/>
      <c r="F26" s="68"/>
      <c r="G26" s="68"/>
      <c r="H26" s="68"/>
      <c r="I26" s="68"/>
      <c r="J26" s="68"/>
      <c r="K26" s="68"/>
      <c r="L26" s="68"/>
      <c r="P26" s="68"/>
    </row>
    <row r="27" spans="5:32" x14ac:dyDescent="0.25">
      <c r="E27" s="68"/>
      <c r="F27" s="68"/>
      <c r="G27" s="68"/>
      <c r="H27" s="68"/>
      <c r="I27" s="68"/>
      <c r="J27" s="68"/>
      <c r="K27" s="68"/>
      <c r="L27" s="68"/>
      <c r="P27" s="68"/>
    </row>
    <row r="28" spans="5:32" x14ac:dyDescent="0.25">
      <c r="E28" s="68"/>
      <c r="F28" s="68"/>
      <c r="G28" s="68"/>
      <c r="H28" s="68"/>
      <c r="I28" s="68"/>
      <c r="J28" s="68"/>
      <c r="K28" s="68"/>
      <c r="L28" s="68"/>
      <c r="P28" s="68"/>
    </row>
    <row r="29" spans="5:32" x14ac:dyDescent="0.25">
      <c r="E29" s="68"/>
      <c r="F29" s="68"/>
      <c r="G29" s="68"/>
      <c r="H29" s="68"/>
      <c r="I29" s="68"/>
      <c r="J29" s="68"/>
      <c r="K29" s="68"/>
      <c r="L29" s="68"/>
      <c r="P29" s="68"/>
    </row>
    <row r="30" spans="5:32" x14ac:dyDescent="0.25">
      <c r="E30" s="68"/>
      <c r="F30" s="68"/>
      <c r="G30" s="68"/>
      <c r="H30" s="68"/>
      <c r="I30" s="68"/>
      <c r="J30" s="68"/>
      <c r="K30" s="68"/>
      <c r="L30" s="68"/>
      <c r="P30" s="68"/>
    </row>
    <row r="31" spans="5:32" x14ac:dyDescent="0.25">
      <c r="E31" s="68"/>
      <c r="F31" s="68"/>
      <c r="G31" s="68"/>
      <c r="H31" s="68"/>
      <c r="I31" s="68"/>
      <c r="J31" s="68"/>
      <c r="K31" s="68"/>
      <c r="L31" s="68"/>
      <c r="P31" s="68"/>
    </row>
    <row r="32" spans="5:32" x14ac:dyDescent="0.25">
      <c r="E32" s="68"/>
      <c r="F32" s="68"/>
      <c r="G32" s="68"/>
      <c r="H32" s="68"/>
      <c r="I32" s="68"/>
      <c r="J32" s="68"/>
      <c r="K32" s="68"/>
      <c r="L32" s="68"/>
      <c r="P32" s="68"/>
    </row>
    <row r="33" spans="5:16" x14ac:dyDescent="0.25">
      <c r="E33" s="68"/>
      <c r="F33" s="68"/>
      <c r="G33" s="68"/>
      <c r="H33" s="68"/>
      <c r="I33" s="68"/>
      <c r="J33" s="68"/>
      <c r="K33" s="68"/>
      <c r="L33" s="68"/>
      <c r="P33" s="68"/>
    </row>
    <row r="34" spans="5:16" x14ac:dyDescent="0.25">
      <c r="E34" s="68"/>
      <c r="F34" s="68"/>
      <c r="G34" s="68"/>
      <c r="H34" s="68"/>
      <c r="I34" s="68"/>
      <c r="J34" s="68"/>
      <c r="K34" s="68"/>
      <c r="L34" s="68"/>
      <c r="P34" s="68"/>
    </row>
    <row r="35" spans="5:16" x14ac:dyDescent="0.25">
      <c r="E35" s="68"/>
      <c r="F35" s="68"/>
      <c r="G35" s="68"/>
      <c r="H35" s="68"/>
      <c r="I35" s="68"/>
      <c r="J35" s="68"/>
      <c r="K35" s="68"/>
      <c r="L35" s="68"/>
      <c r="P35" s="68"/>
    </row>
    <row r="36" spans="5:16" x14ac:dyDescent="0.25">
      <c r="E36" s="68"/>
      <c r="F36" s="68"/>
      <c r="G36" s="68"/>
      <c r="H36" s="68"/>
      <c r="I36" s="68"/>
      <c r="J36" s="68"/>
      <c r="K36" s="68"/>
      <c r="L36" s="68"/>
      <c r="P36" s="68"/>
    </row>
    <row r="37" spans="5:16" x14ac:dyDescent="0.25">
      <c r="E37" s="68"/>
      <c r="F37" s="68"/>
      <c r="G37" s="68"/>
      <c r="H37" s="68"/>
      <c r="I37" s="68"/>
      <c r="J37" s="68"/>
      <c r="K37" s="68"/>
      <c r="L37" s="68"/>
      <c r="P37" s="68"/>
    </row>
    <row r="38" spans="5:16" x14ac:dyDescent="0.25">
      <c r="E38" s="68"/>
      <c r="F38" s="68"/>
      <c r="G38" s="68"/>
      <c r="H38" s="68"/>
      <c r="I38" s="68"/>
      <c r="J38" s="68"/>
      <c r="K38" s="68"/>
      <c r="L38" s="68"/>
      <c r="P38" s="68"/>
    </row>
    <row r="39" spans="5:16" x14ac:dyDescent="0.25">
      <c r="E39" s="68"/>
      <c r="F39" s="68"/>
      <c r="G39" s="68"/>
      <c r="H39" s="68"/>
      <c r="I39" s="68"/>
      <c r="J39" s="68"/>
      <c r="K39" s="68"/>
      <c r="L39" s="68"/>
      <c r="P39" s="68"/>
    </row>
    <row r="40" spans="5:16" x14ac:dyDescent="0.25">
      <c r="E40" s="68"/>
      <c r="F40" s="68"/>
      <c r="G40" s="68"/>
      <c r="H40" s="68"/>
      <c r="I40" s="68"/>
      <c r="J40" s="68"/>
      <c r="K40" s="68"/>
      <c r="L40" s="68"/>
      <c r="P40" s="68"/>
    </row>
    <row r="41" spans="5:16" x14ac:dyDescent="0.25">
      <c r="E41" s="68"/>
      <c r="F41" s="68"/>
      <c r="G41" s="68"/>
      <c r="H41" s="68"/>
      <c r="I41" s="68"/>
      <c r="J41" s="68"/>
      <c r="K41" s="68"/>
      <c r="L41" s="68"/>
      <c r="P41" s="68"/>
    </row>
    <row r="42" spans="5:16" x14ac:dyDescent="0.25">
      <c r="E42" s="68"/>
      <c r="F42" s="68"/>
      <c r="G42" s="68"/>
      <c r="H42" s="68"/>
      <c r="I42" s="68"/>
      <c r="J42" s="68"/>
      <c r="K42" s="68"/>
      <c r="L42" s="68"/>
      <c r="P42" s="68"/>
    </row>
    <row r="43" spans="5:16" x14ac:dyDescent="0.25">
      <c r="E43" s="68"/>
      <c r="F43" s="68"/>
      <c r="G43" s="68"/>
      <c r="H43" s="68"/>
      <c r="I43" s="68"/>
      <c r="J43" s="68"/>
      <c r="K43" s="68"/>
      <c r="L43" s="68"/>
      <c r="P43" s="68"/>
    </row>
    <row r="44" spans="5:16" x14ac:dyDescent="0.25">
      <c r="E44" s="68"/>
      <c r="F44" s="68"/>
      <c r="G44" s="68"/>
      <c r="H44" s="68"/>
      <c r="I44" s="68"/>
      <c r="J44" s="68"/>
      <c r="K44" s="68"/>
      <c r="L44" s="68"/>
      <c r="P44" s="68"/>
    </row>
    <row r="45" spans="5:16" x14ac:dyDescent="0.25">
      <c r="E45" s="68"/>
      <c r="F45" s="68"/>
      <c r="G45" s="68"/>
      <c r="H45" s="68"/>
      <c r="I45" s="68"/>
      <c r="J45" s="68"/>
      <c r="K45" s="68"/>
      <c r="L45" s="68"/>
      <c r="P45" s="68"/>
    </row>
    <row r="46" spans="5:16" x14ac:dyDescent="0.25">
      <c r="E46" s="68"/>
      <c r="F46" s="68"/>
      <c r="G46" s="68"/>
      <c r="H46" s="68"/>
      <c r="I46" s="68"/>
      <c r="J46" s="68"/>
      <c r="K46" s="68"/>
      <c r="L46" s="68"/>
      <c r="P46" s="68"/>
    </row>
    <row r="47" spans="5:16" x14ac:dyDescent="0.25">
      <c r="E47" s="68"/>
      <c r="F47" s="68"/>
      <c r="G47" s="68"/>
      <c r="H47" s="68"/>
      <c r="I47" s="68"/>
      <c r="J47" s="68"/>
      <c r="K47" s="68"/>
      <c r="L47" s="68"/>
      <c r="P47" s="68"/>
    </row>
    <row r="48" spans="5:16" x14ac:dyDescent="0.25">
      <c r="E48" s="68"/>
      <c r="F48" s="68"/>
      <c r="G48" s="68"/>
      <c r="H48" s="68"/>
      <c r="I48" s="68"/>
      <c r="J48" s="68"/>
      <c r="K48" s="68"/>
      <c r="L48" s="68"/>
      <c r="P48" s="68"/>
    </row>
    <row r="49" spans="5:16" x14ac:dyDescent="0.25">
      <c r="E49" s="68"/>
      <c r="F49" s="68"/>
      <c r="G49" s="68"/>
      <c r="H49" s="68"/>
      <c r="I49" s="68"/>
      <c r="J49" s="68"/>
      <c r="K49" s="68"/>
      <c r="L49" s="68"/>
      <c r="P49" s="68"/>
    </row>
    <row r="50" spans="5:16" x14ac:dyDescent="0.25">
      <c r="E50" s="68"/>
      <c r="F50" s="68"/>
      <c r="G50" s="68"/>
      <c r="H50" s="68"/>
      <c r="I50" s="68"/>
      <c r="J50" s="68"/>
      <c r="K50" s="68"/>
      <c r="L50" s="68"/>
      <c r="P50" s="68"/>
    </row>
    <row r="51" spans="5:16" x14ac:dyDescent="0.25">
      <c r="E51" s="68"/>
      <c r="F51" s="68"/>
      <c r="G51" s="68"/>
      <c r="H51" s="68"/>
      <c r="I51" s="68"/>
      <c r="J51" s="68"/>
      <c r="K51" s="68"/>
      <c r="L51" s="68"/>
      <c r="P51" s="68"/>
    </row>
    <row r="52" spans="5:16" x14ac:dyDescent="0.25">
      <c r="E52" s="68"/>
      <c r="F52" s="68"/>
      <c r="G52" s="68"/>
      <c r="H52" s="68"/>
      <c r="I52" s="68"/>
      <c r="J52" s="68"/>
      <c r="K52" s="68"/>
      <c r="L52" s="68"/>
      <c r="P52" s="68"/>
    </row>
    <row r="53" spans="5:16" x14ac:dyDescent="0.25">
      <c r="E53" s="68"/>
      <c r="F53" s="68"/>
      <c r="G53" s="68"/>
      <c r="H53" s="68"/>
      <c r="I53" s="68"/>
      <c r="J53" s="68"/>
      <c r="K53" s="68"/>
      <c r="L53" s="68"/>
      <c r="P53" s="68"/>
    </row>
    <row r="54" spans="5:16" x14ac:dyDescent="0.25">
      <c r="E54" s="68"/>
      <c r="F54" s="68"/>
      <c r="G54" s="68"/>
      <c r="H54" s="68"/>
      <c r="I54" s="68"/>
      <c r="J54" s="68"/>
      <c r="K54" s="68"/>
      <c r="L54" s="68"/>
      <c r="P54" s="68"/>
    </row>
    <row r="55" spans="5:16" x14ac:dyDescent="0.25">
      <c r="E55" s="68"/>
      <c r="F55" s="68"/>
      <c r="G55" s="68"/>
      <c r="H55" s="68"/>
      <c r="I55" s="68"/>
      <c r="J55" s="68"/>
      <c r="K55" s="68"/>
      <c r="L55" s="68"/>
      <c r="P55" s="68"/>
    </row>
    <row r="56" spans="5:16" x14ac:dyDescent="0.25">
      <c r="E56" s="68"/>
      <c r="F56" s="68"/>
      <c r="G56" s="68"/>
      <c r="H56" s="68"/>
      <c r="I56" s="68"/>
      <c r="J56" s="68"/>
      <c r="K56" s="68"/>
      <c r="L56" s="68"/>
      <c r="P56" s="68"/>
    </row>
    <row r="57" spans="5:16" x14ac:dyDescent="0.25">
      <c r="E57" s="68"/>
      <c r="F57" s="68"/>
      <c r="G57" s="68"/>
      <c r="H57" s="68"/>
      <c r="I57" s="68"/>
      <c r="J57" s="68"/>
      <c r="K57" s="68"/>
      <c r="L57" s="68"/>
      <c r="P57" s="68"/>
    </row>
    <row r="58" spans="5:16" x14ac:dyDescent="0.25">
      <c r="E58" s="68"/>
      <c r="F58" s="68"/>
      <c r="G58" s="68"/>
      <c r="H58" s="68"/>
      <c r="I58" s="68"/>
      <c r="J58" s="68"/>
      <c r="K58" s="68"/>
      <c r="L58" s="68"/>
      <c r="P58" s="68"/>
    </row>
    <row r="59" spans="5:16" x14ac:dyDescent="0.25">
      <c r="E59" s="68"/>
      <c r="F59" s="68"/>
      <c r="G59" s="68"/>
      <c r="H59" s="68"/>
      <c r="I59" s="68"/>
      <c r="J59" s="68"/>
      <c r="K59" s="68"/>
      <c r="L59" s="68"/>
      <c r="P59" s="68"/>
    </row>
    <row r="60" spans="5:16" x14ac:dyDescent="0.25">
      <c r="E60" s="68"/>
      <c r="F60" s="68"/>
      <c r="G60" s="68"/>
      <c r="H60" s="68"/>
      <c r="I60" s="68"/>
      <c r="J60" s="68"/>
      <c r="K60" s="68"/>
      <c r="L60" s="68"/>
      <c r="P60" s="68"/>
    </row>
    <row r="61" spans="5:16" x14ac:dyDescent="0.25">
      <c r="E61" s="68"/>
      <c r="F61" s="68"/>
      <c r="G61" s="68"/>
      <c r="H61" s="68"/>
      <c r="I61" s="68"/>
      <c r="J61" s="68"/>
      <c r="K61" s="68"/>
      <c r="L61" s="68"/>
      <c r="P61" s="68"/>
    </row>
    <row r="62" spans="5:16" x14ac:dyDescent="0.25">
      <c r="E62" s="68"/>
      <c r="F62" s="68"/>
      <c r="G62" s="68"/>
      <c r="H62" s="68"/>
      <c r="I62" s="68"/>
      <c r="J62" s="68"/>
      <c r="K62" s="68"/>
      <c r="L62" s="68"/>
      <c r="P62" s="68"/>
    </row>
    <row r="63" spans="5:16" x14ac:dyDescent="0.25">
      <c r="E63" s="68"/>
      <c r="F63" s="68"/>
      <c r="G63" s="68"/>
      <c r="H63" s="68"/>
      <c r="I63" s="68"/>
      <c r="J63" s="68"/>
      <c r="K63" s="68"/>
      <c r="L63" s="68"/>
      <c r="P63" s="68"/>
    </row>
    <row r="64" spans="5:16" x14ac:dyDescent="0.25">
      <c r="E64" s="68"/>
      <c r="F64" s="68"/>
      <c r="G64" s="68"/>
      <c r="H64" s="68"/>
      <c r="I64" s="68"/>
      <c r="J64" s="68"/>
      <c r="K64" s="68"/>
      <c r="L64" s="68"/>
      <c r="P64" s="68"/>
    </row>
    <row r="65" spans="5:16" x14ac:dyDescent="0.25">
      <c r="E65" s="68"/>
      <c r="F65" s="68"/>
      <c r="G65" s="68"/>
      <c r="H65" s="68"/>
      <c r="I65" s="68"/>
      <c r="J65" s="68"/>
      <c r="K65" s="68"/>
      <c r="L65" s="68"/>
      <c r="P65" s="68"/>
    </row>
    <row r="66" spans="5:16" x14ac:dyDescent="0.25">
      <c r="E66" s="68"/>
      <c r="F66" s="68"/>
      <c r="G66" s="68"/>
      <c r="H66" s="68"/>
      <c r="I66" s="68"/>
      <c r="J66" s="68"/>
      <c r="K66" s="68"/>
      <c r="L66" s="68"/>
      <c r="P66" s="68"/>
    </row>
    <row r="67" spans="5:16" x14ac:dyDescent="0.25">
      <c r="E67" s="68"/>
      <c r="F67" s="68"/>
      <c r="G67" s="68"/>
      <c r="H67" s="68"/>
      <c r="I67" s="68"/>
      <c r="J67" s="68"/>
      <c r="K67" s="68"/>
      <c r="L67" s="68"/>
      <c r="P67" s="68"/>
    </row>
    <row r="68" spans="5:16" x14ac:dyDescent="0.25">
      <c r="E68" s="68"/>
      <c r="F68" s="68"/>
      <c r="G68" s="68"/>
      <c r="H68" s="68"/>
      <c r="I68" s="68"/>
      <c r="J68" s="68"/>
      <c r="K68" s="68"/>
      <c r="L68" s="68"/>
      <c r="P68" s="68"/>
    </row>
    <row r="69" spans="5:16" x14ac:dyDescent="0.25">
      <c r="E69" s="68"/>
      <c r="F69" s="68"/>
      <c r="G69" s="68"/>
      <c r="H69" s="68"/>
      <c r="I69" s="68"/>
      <c r="J69" s="68"/>
      <c r="K69" s="68"/>
      <c r="L69" s="68"/>
      <c r="P69" s="68"/>
    </row>
    <row r="70" spans="5:16" x14ac:dyDescent="0.25">
      <c r="E70" s="68"/>
      <c r="F70" s="68"/>
      <c r="G70" s="68"/>
      <c r="H70" s="68"/>
      <c r="I70" s="68"/>
      <c r="J70" s="68"/>
      <c r="K70" s="68"/>
      <c r="L70" s="68"/>
      <c r="P70" s="68"/>
    </row>
    <row r="71" spans="5:16" x14ac:dyDescent="0.25">
      <c r="E71" s="68"/>
      <c r="F71" s="68"/>
      <c r="G71" s="68"/>
      <c r="H71" s="68"/>
      <c r="I71" s="68"/>
      <c r="J71" s="68"/>
      <c r="K71" s="68"/>
      <c r="L71" s="68"/>
      <c r="P71" s="68"/>
    </row>
    <row r="72" spans="5:16" x14ac:dyDescent="0.25">
      <c r="E72" s="68"/>
      <c r="F72" s="68"/>
      <c r="G72" s="68"/>
      <c r="H72" s="68"/>
      <c r="I72" s="68"/>
      <c r="J72" s="68"/>
      <c r="K72" s="68"/>
      <c r="L72" s="68"/>
      <c r="P72" s="68"/>
    </row>
    <row r="73" spans="5:16" x14ac:dyDescent="0.25">
      <c r="E73" s="68"/>
      <c r="F73" s="68"/>
      <c r="G73" s="68"/>
      <c r="H73" s="68"/>
      <c r="I73" s="68"/>
      <c r="J73" s="68"/>
      <c r="K73" s="68"/>
      <c r="L73" s="68"/>
      <c r="P73" s="68"/>
    </row>
    <row r="74" spans="5:16" x14ac:dyDescent="0.25">
      <c r="E74" s="68"/>
      <c r="F74" s="68"/>
      <c r="G74" s="68"/>
      <c r="H74" s="68"/>
      <c r="I74" s="68"/>
      <c r="J74" s="68"/>
      <c r="K74" s="68"/>
      <c r="L74" s="68"/>
      <c r="P74" s="68"/>
    </row>
    <row r="75" spans="5:16" x14ac:dyDescent="0.25">
      <c r="E75" s="68"/>
      <c r="F75" s="68"/>
      <c r="G75" s="68"/>
      <c r="H75" s="68"/>
      <c r="I75" s="68"/>
      <c r="J75" s="68"/>
      <c r="K75" s="68"/>
      <c r="L75" s="68"/>
      <c r="P75" s="68"/>
    </row>
    <row r="76" spans="5:16" x14ac:dyDescent="0.25">
      <c r="E76" s="68"/>
      <c r="F76" s="68"/>
      <c r="G76" s="68"/>
      <c r="H76" s="68"/>
      <c r="I76" s="68"/>
      <c r="J76" s="68"/>
      <c r="K76" s="68"/>
      <c r="L76" s="68"/>
      <c r="P76" s="68"/>
    </row>
    <row r="77" spans="5:16" x14ac:dyDescent="0.25">
      <c r="E77" s="68"/>
      <c r="F77" s="68"/>
      <c r="G77" s="68"/>
      <c r="H77" s="68"/>
      <c r="I77" s="68"/>
      <c r="J77" s="68"/>
      <c r="K77" s="68"/>
      <c r="L77" s="68"/>
      <c r="P77" s="68"/>
    </row>
    <row r="78" spans="5:16" x14ac:dyDescent="0.25">
      <c r="E78" s="68"/>
      <c r="F78" s="68"/>
      <c r="G78" s="68"/>
      <c r="H78" s="68"/>
      <c r="I78" s="68"/>
      <c r="J78" s="68"/>
      <c r="K78" s="68"/>
      <c r="L78" s="68"/>
      <c r="P78" s="68"/>
    </row>
    <row r="79" spans="5:16" x14ac:dyDescent="0.25">
      <c r="E79" s="68"/>
      <c r="F79" s="68"/>
      <c r="G79" s="68"/>
      <c r="H79" s="68"/>
      <c r="I79" s="68"/>
      <c r="J79" s="68"/>
      <c r="K79" s="68"/>
      <c r="L79" s="68"/>
      <c r="P79" s="68"/>
    </row>
    <row r="80" spans="5:16" x14ac:dyDescent="0.25">
      <c r="E80" s="68"/>
      <c r="F80" s="68"/>
      <c r="G80" s="68"/>
      <c r="H80" s="68"/>
      <c r="I80" s="68"/>
      <c r="J80" s="68"/>
      <c r="K80" s="68"/>
      <c r="L80" s="68"/>
      <c r="P80" s="68"/>
    </row>
    <row r="81" spans="5:16" x14ac:dyDescent="0.25">
      <c r="E81" s="68"/>
      <c r="F81" s="68"/>
      <c r="G81" s="68"/>
      <c r="H81" s="68"/>
      <c r="I81" s="68"/>
      <c r="J81" s="68"/>
      <c r="K81" s="68"/>
      <c r="L81" s="68"/>
      <c r="P81" s="68"/>
    </row>
    <row r="82" spans="5:16" x14ac:dyDescent="0.25">
      <c r="E82" s="68"/>
      <c r="F82" s="68"/>
      <c r="G82" s="68"/>
      <c r="H82" s="68"/>
      <c r="I82" s="68"/>
      <c r="J82" s="68"/>
      <c r="K82" s="68"/>
      <c r="L82" s="68"/>
      <c r="P82" s="68"/>
    </row>
    <row r="83" spans="5:16" x14ac:dyDescent="0.25">
      <c r="E83" s="68"/>
      <c r="F83" s="68"/>
      <c r="G83" s="68"/>
      <c r="H83" s="68"/>
      <c r="I83" s="68"/>
      <c r="J83" s="68"/>
      <c r="K83" s="68"/>
      <c r="L83" s="68"/>
      <c r="P83" s="68"/>
    </row>
    <row r="84" spans="5:16" x14ac:dyDescent="0.25">
      <c r="E84" s="68"/>
      <c r="F84" s="68"/>
      <c r="G84" s="68"/>
      <c r="H84" s="68"/>
      <c r="I84" s="68"/>
      <c r="J84" s="68"/>
      <c r="K84" s="68"/>
      <c r="L84" s="68"/>
      <c r="P84" s="68"/>
    </row>
    <row r="85" spans="5:16" x14ac:dyDescent="0.25">
      <c r="E85" s="68"/>
      <c r="F85" s="68"/>
      <c r="G85" s="68"/>
      <c r="H85" s="68"/>
      <c r="I85" s="68"/>
      <c r="J85" s="68"/>
      <c r="K85" s="68"/>
      <c r="L85" s="68"/>
      <c r="P85" s="68"/>
    </row>
    <row r="86" spans="5:16" x14ac:dyDescent="0.25">
      <c r="E86" s="68"/>
      <c r="F86" s="68"/>
      <c r="G86" s="68"/>
      <c r="H86" s="68"/>
      <c r="I86" s="68"/>
      <c r="J86" s="68"/>
      <c r="K86" s="68"/>
      <c r="L86" s="68"/>
      <c r="P86" s="68"/>
    </row>
    <row r="87" spans="5:16" x14ac:dyDescent="0.25">
      <c r="E87" s="68"/>
      <c r="F87" s="68"/>
      <c r="G87" s="68"/>
      <c r="H87" s="68"/>
      <c r="I87" s="68"/>
      <c r="J87" s="68"/>
      <c r="K87" s="68"/>
      <c r="L87" s="68"/>
      <c r="P87" s="68"/>
    </row>
    <row r="88" spans="5:16" x14ac:dyDescent="0.25">
      <c r="E88" s="68"/>
      <c r="F88" s="68"/>
      <c r="G88" s="68"/>
      <c r="H88" s="68"/>
      <c r="I88" s="68"/>
      <c r="J88" s="68"/>
      <c r="K88" s="68"/>
      <c r="L88" s="68"/>
      <c r="P88" s="68"/>
    </row>
    <row r="89" spans="5:16" x14ac:dyDescent="0.25">
      <c r="E89" s="68"/>
      <c r="F89" s="68"/>
      <c r="G89" s="68"/>
      <c r="H89" s="68"/>
      <c r="I89" s="68"/>
      <c r="J89" s="68"/>
      <c r="K89" s="68"/>
      <c r="L89" s="68"/>
      <c r="P89" s="68"/>
    </row>
    <row r="90" spans="5:16" x14ac:dyDescent="0.25">
      <c r="E90" s="68"/>
      <c r="F90" s="68"/>
      <c r="G90" s="68"/>
      <c r="H90" s="68"/>
      <c r="I90" s="68"/>
      <c r="J90" s="68"/>
      <c r="K90" s="68"/>
      <c r="L90" s="68"/>
      <c r="P90" s="68"/>
    </row>
    <row r="91" spans="5:16" x14ac:dyDescent="0.25">
      <c r="E91" s="68"/>
      <c r="F91" s="68"/>
      <c r="G91" s="68"/>
      <c r="H91" s="68"/>
      <c r="I91" s="68"/>
      <c r="J91" s="68"/>
      <c r="K91" s="68"/>
      <c r="L91" s="68"/>
      <c r="P91" s="68"/>
    </row>
    <row r="92" spans="5:16" x14ac:dyDescent="0.25">
      <c r="E92" s="68"/>
      <c r="F92" s="68"/>
      <c r="G92" s="68"/>
      <c r="H92" s="68"/>
      <c r="I92" s="68"/>
      <c r="J92" s="68"/>
      <c r="K92" s="68"/>
      <c r="L92" s="68"/>
      <c r="P92" s="68"/>
    </row>
    <row r="93" spans="5:16" x14ac:dyDescent="0.25">
      <c r="E93" s="68"/>
      <c r="F93" s="68"/>
      <c r="G93" s="68"/>
      <c r="H93" s="68"/>
      <c r="I93" s="68"/>
      <c r="J93" s="68"/>
      <c r="K93" s="68"/>
      <c r="L93" s="68"/>
      <c r="P93" s="68"/>
    </row>
    <row r="94" spans="5:16" x14ac:dyDescent="0.25">
      <c r="E94" s="68"/>
      <c r="F94" s="68"/>
      <c r="G94" s="68"/>
      <c r="H94" s="68"/>
      <c r="I94" s="68"/>
      <c r="J94" s="68"/>
      <c r="K94" s="68"/>
      <c r="L94" s="68"/>
      <c r="P94" s="68"/>
    </row>
    <row r="95" spans="5:16" x14ac:dyDescent="0.25">
      <c r="E95" s="68"/>
      <c r="F95" s="68"/>
      <c r="G95" s="68"/>
      <c r="H95" s="68"/>
      <c r="I95" s="68"/>
      <c r="J95" s="68"/>
      <c r="K95" s="68"/>
      <c r="L95" s="68"/>
      <c r="P95" s="68"/>
    </row>
    <row r="96" spans="5:16" x14ac:dyDescent="0.25">
      <c r="E96" s="68"/>
      <c r="F96" s="68"/>
      <c r="G96" s="68"/>
      <c r="H96" s="68"/>
      <c r="I96" s="68"/>
      <c r="J96" s="68"/>
      <c r="K96" s="68"/>
      <c r="L96" s="68"/>
      <c r="P96" s="68"/>
    </row>
    <row r="97" spans="5:16" x14ac:dyDescent="0.25">
      <c r="E97" s="68"/>
      <c r="F97" s="68"/>
      <c r="G97" s="68"/>
      <c r="H97" s="68"/>
      <c r="I97" s="68"/>
      <c r="J97" s="68"/>
      <c r="K97" s="68"/>
      <c r="L97" s="68"/>
      <c r="P97" s="68"/>
    </row>
    <row r="98" spans="5:16" x14ac:dyDescent="0.25">
      <c r="E98" s="68"/>
      <c r="F98" s="68"/>
      <c r="G98" s="68"/>
      <c r="H98" s="68"/>
      <c r="I98" s="68"/>
      <c r="J98" s="68"/>
      <c r="K98" s="68"/>
      <c r="L98" s="68"/>
      <c r="P98" s="68"/>
    </row>
    <row r="99" spans="5:16" x14ac:dyDescent="0.25">
      <c r="E99" s="68"/>
      <c r="F99" s="68"/>
      <c r="G99" s="68"/>
      <c r="H99" s="68"/>
      <c r="I99" s="68"/>
      <c r="J99" s="68"/>
      <c r="K99" s="68"/>
      <c r="L99" s="68"/>
      <c r="P99" s="68"/>
    </row>
    <row r="100" spans="5:16" x14ac:dyDescent="0.25">
      <c r="E100" s="68"/>
      <c r="F100" s="68"/>
      <c r="G100" s="68"/>
      <c r="H100" s="68"/>
      <c r="I100" s="68"/>
      <c r="J100" s="68"/>
      <c r="K100" s="68"/>
      <c r="L100" s="68"/>
      <c r="P100" s="68"/>
    </row>
    <row r="101" spans="5:16" x14ac:dyDescent="0.25">
      <c r="E101" s="68"/>
      <c r="F101" s="68"/>
      <c r="G101" s="68"/>
      <c r="H101" s="68"/>
      <c r="I101" s="68"/>
      <c r="J101" s="68"/>
      <c r="K101" s="68"/>
      <c r="L101" s="68"/>
      <c r="P101" s="68"/>
    </row>
    <row r="102" spans="5:16" x14ac:dyDescent="0.25">
      <c r="E102" s="68"/>
      <c r="F102" s="68"/>
      <c r="G102" s="68"/>
      <c r="H102" s="68"/>
      <c r="I102" s="68"/>
      <c r="J102" s="68"/>
      <c r="K102" s="68"/>
      <c r="L102" s="68"/>
      <c r="P102" s="68"/>
    </row>
    <row r="103" spans="5:16" x14ac:dyDescent="0.25">
      <c r="E103" s="68"/>
      <c r="F103" s="68"/>
      <c r="G103" s="68"/>
      <c r="H103" s="68"/>
      <c r="I103" s="68"/>
      <c r="J103" s="68"/>
      <c r="K103" s="68"/>
      <c r="L103" s="68"/>
      <c r="P103" s="68"/>
    </row>
    <row r="104" spans="5:16" x14ac:dyDescent="0.25">
      <c r="E104" s="68"/>
      <c r="F104" s="68"/>
      <c r="G104" s="68"/>
      <c r="H104" s="68"/>
      <c r="I104" s="68"/>
      <c r="J104" s="68"/>
      <c r="K104" s="68"/>
      <c r="L104" s="68"/>
      <c r="P104" s="68"/>
    </row>
    <row r="105" spans="5:16" x14ac:dyDescent="0.25">
      <c r="E105" s="68"/>
      <c r="F105" s="68"/>
      <c r="G105" s="68"/>
      <c r="H105" s="68"/>
      <c r="I105" s="68"/>
      <c r="J105" s="68"/>
      <c r="K105" s="68"/>
      <c r="L105" s="68"/>
      <c r="P105" s="68"/>
    </row>
    <row r="106" spans="5:16" x14ac:dyDescent="0.25">
      <c r="E106" s="68"/>
      <c r="F106" s="68"/>
      <c r="G106" s="68"/>
      <c r="H106" s="68"/>
      <c r="I106" s="68"/>
      <c r="J106" s="68"/>
      <c r="K106" s="68"/>
      <c r="L106" s="68"/>
      <c r="P106" s="68"/>
    </row>
    <row r="107" spans="5:16" x14ac:dyDescent="0.25">
      <c r="E107" s="68"/>
      <c r="F107" s="68"/>
      <c r="G107" s="68"/>
      <c r="H107" s="68"/>
      <c r="I107" s="68"/>
      <c r="J107" s="68"/>
      <c r="K107" s="68"/>
      <c r="L107" s="68"/>
      <c r="P107" s="68"/>
    </row>
    <row r="108" spans="5:16" x14ac:dyDescent="0.25">
      <c r="E108" s="68"/>
      <c r="F108" s="68"/>
      <c r="G108" s="68"/>
      <c r="H108" s="68"/>
      <c r="I108" s="68"/>
      <c r="J108" s="68"/>
      <c r="K108" s="68"/>
      <c r="L108" s="68"/>
      <c r="P108" s="68"/>
    </row>
    <row r="109" spans="5:16" x14ac:dyDescent="0.25">
      <c r="E109" s="68"/>
      <c r="F109" s="68"/>
      <c r="G109" s="68"/>
      <c r="H109" s="68"/>
      <c r="I109" s="68"/>
      <c r="J109" s="68"/>
      <c r="K109" s="68"/>
      <c r="L109" s="68"/>
      <c r="P109" s="68"/>
    </row>
    <row r="110" spans="5:16" x14ac:dyDescent="0.25">
      <c r="E110" s="68"/>
      <c r="F110" s="68"/>
      <c r="G110" s="68"/>
      <c r="H110" s="68"/>
      <c r="I110" s="68"/>
      <c r="J110" s="68"/>
      <c r="K110" s="68"/>
      <c r="L110" s="68"/>
      <c r="P110" s="68"/>
    </row>
    <row r="111" spans="5:16" x14ac:dyDescent="0.25">
      <c r="E111" s="68"/>
      <c r="F111" s="68"/>
      <c r="G111" s="68"/>
      <c r="H111" s="68"/>
      <c r="I111" s="68"/>
      <c r="J111" s="68"/>
      <c r="K111" s="68"/>
      <c r="L111" s="68"/>
      <c r="P111" s="68"/>
    </row>
    <row r="112" spans="5:16" x14ac:dyDescent="0.25">
      <c r="E112" s="68"/>
      <c r="F112" s="68"/>
      <c r="G112" s="68"/>
      <c r="H112" s="68"/>
      <c r="I112" s="68"/>
      <c r="J112" s="68"/>
      <c r="K112" s="68"/>
      <c r="L112" s="68"/>
      <c r="P112" s="68"/>
    </row>
    <row r="113" spans="5:16" x14ac:dyDescent="0.25">
      <c r="E113" s="68"/>
      <c r="F113" s="68"/>
      <c r="G113" s="68"/>
      <c r="H113" s="68"/>
      <c r="I113" s="68"/>
      <c r="J113" s="68"/>
      <c r="K113" s="68"/>
      <c r="L113" s="68"/>
      <c r="P113" s="68"/>
    </row>
    <row r="114" spans="5:16" x14ac:dyDescent="0.25">
      <c r="E114" s="68"/>
      <c r="F114" s="68"/>
      <c r="G114" s="68"/>
      <c r="H114" s="68"/>
      <c r="I114" s="68"/>
      <c r="J114" s="68"/>
      <c r="K114" s="68"/>
      <c r="L114" s="68"/>
      <c r="P114" s="68"/>
    </row>
    <row r="115" spans="5:16" x14ac:dyDescent="0.25">
      <c r="E115" s="68"/>
      <c r="F115" s="68"/>
      <c r="G115" s="68"/>
      <c r="H115" s="68"/>
      <c r="I115" s="68"/>
      <c r="J115" s="68"/>
      <c r="K115" s="68"/>
      <c r="L115" s="68"/>
      <c r="P115" s="68"/>
    </row>
    <row r="116" spans="5:16" x14ac:dyDescent="0.25">
      <c r="E116" s="68"/>
      <c r="F116" s="68"/>
      <c r="G116" s="68"/>
      <c r="H116" s="68"/>
      <c r="I116" s="68"/>
      <c r="J116" s="68"/>
      <c r="K116" s="68"/>
      <c r="L116" s="68"/>
      <c r="P116" s="68"/>
    </row>
    <row r="117" spans="5:16" x14ac:dyDescent="0.25">
      <c r="E117" s="68"/>
      <c r="F117" s="68"/>
      <c r="G117" s="68"/>
      <c r="H117" s="68"/>
      <c r="I117" s="68"/>
      <c r="J117" s="68"/>
      <c r="K117" s="68"/>
      <c r="L117" s="68"/>
      <c r="P117" s="68"/>
    </row>
    <row r="118" spans="5:16" x14ac:dyDescent="0.25">
      <c r="E118" s="68"/>
      <c r="F118" s="68"/>
      <c r="G118" s="68"/>
      <c r="H118" s="68"/>
      <c r="I118" s="68"/>
      <c r="J118" s="68"/>
      <c r="K118" s="68"/>
      <c r="L118" s="68"/>
      <c r="P118" s="68"/>
    </row>
    <row r="119" spans="5:16" x14ac:dyDescent="0.25">
      <c r="E119" s="68"/>
      <c r="F119" s="68"/>
      <c r="G119" s="68"/>
      <c r="H119" s="68"/>
      <c r="I119" s="68"/>
      <c r="J119" s="68"/>
      <c r="K119" s="68"/>
      <c r="L119" s="68"/>
      <c r="P119" s="68"/>
    </row>
    <row r="120" spans="5:16" x14ac:dyDescent="0.25">
      <c r="E120" s="68"/>
      <c r="F120" s="68"/>
      <c r="G120" s="68"/>
      <c r="H120" s="68"/>
      <c r="I120" s="68"/>
      <c r="J120" s="68"/>
      <c r="K120" s="68"/>
      <c r="L120" s="68"/>
      <c r="P120" s="68"/>
    </row>
    <row r="121" spans="5:16" x14ac:dyDescent="0.25">
      <c r="E121" s="68"/>
      <c r="F121" s="68"/>
      <c r="G121" s="68"/>
      <c r="H121" s="68"/>
      <c r="I121" s="68"/>
      <c r="J121" s="68"/>
      <c r="K121" s="68"/>
      <c r="L121" s="68"/>
      <c r="P121" s="68"/>
    </row>
    <row r="122" spans="5:16" x14ac:dyDescent="0.25">
      <c r="E122" s="68"/>
      <c r="F122" s="68"/>
      <c r="G122" s="68"/>
      <c r="H122" s="68"/>
      <c r="I122" s="68"/>
      <c r="J122" s="68"/>
      <c r="K122" s="68"/>
      <c r="L122" s="68"/>
      <c r="P122" s="68"/>
    </row>
    <row r="123" spans="5:16" x14ac:dyDescent="0.25">
      <c r="E123" s="68"/>
      <c r="F123" s="68"/>
      <c r="G123" s="68"/>
      <c r="H123" s="68"/>
      <c r="I123" s="68"/>
      <c r="J123" s="68"/>
      <c r="K123" s="68"/>
      <c r="L123" s="68"/>
      <c r="P123" s="68"/>
    </row>
    <row r="124" spans="5:16" x14ac:dyDescent="0.25">
      <c r="E124" s="68"/>
      <c r="F124" s="68"/>
      <c r="G124" s="68"/>
      <c r="H124" s="68"/>
      <c r="I124" s="68"/>
      <c r="J124" s="68"/>
      <c r="K124" s="68"/>
      <c r="L124" s="68"/>
      <c r="P124" s="68"/>
    </row>
    <row r="125" spans="5:16" x14ac:dyDescent="0.25">
      <c r="E125" s="68"/>
      <c r="F125" s="68"/>
      <c r="G125" s="68"/>
      <c r="H125" s="68"/>
      <c r="I125" s="68"/>
      <c r="J125" s="68"/>
      <c r="K125" s="68"/>
      <c r="L125" s="68"/>
      <c r="P125" s="68"/>
    </row>
    <row r="126" spans="5:16" x14ac:dyDescent="0.25">
      <c r="E126" s="68"/>
      <c r="F126" s="68"/>
      <c r="G126" s="68"/>
      <c r="H126" s="68"/>
      <c r="I126" s="68"/>
      <c r="J126" s="68"/>
      <c r="K126" s="68"/>
      <c r="L126" s="68"/>
      <c r="P126" s="68"/>
    </row>
    <row r="127" spans="5:16" x14ac:dyDescent="0.25">
      <c r="E127" s="68"/>
      <c r="F127" s="68"/>
      <c r="G127" s="68"/>
      <c r="H127" s="68"/>
      <c r="I127" s="68"/>
      <c r="J127" s="68"/>
      <c r="K127" s="68"/>
      <c r="L127" s="68"/>
      <c r="P127" s="68"/>
    </row>
    <row r="128" spans="5:16" x14ac:dyDescent="0.25">
      <c r="E128" s="68"/>
      <c r="F128" s="68"/>
      <c r="G128" s="68"/>
      <c r="H128" s="68"/>
      <c r="I128" s="68"/>
      <c r="J128" s="68"/>
      <c r="K128" s="68"/>
      <c r="L128" s="68"/>
      <c r="P128" s="68"/>
    </row>
    <row r="129" spans="5:16" x14ac:dyDescent="0.25">
      <c r="E129" s="68"/>
      <c r="F129" s="68"/>
      <c r="G129" s="68"/>
      <c r="H129" s="68"/>
      <c r="I129" s="68"/>
      <c r="J129" s="68"/>
      <c r="K129" s="68"/>
      <c r="L129" s="68"/>
      <c r="P129" s="68"/>
    </row>
    <row r="130" spans="5:16" x14ac:dyDescent="0.25">
      <c r="E130" s="68"/>
      <c r="F130" s="68"/>
      <c r="G130" s="68"/>
      <c r="H130" s="68"/>
      <c r="I130" s="68"/>
      <c r="J130" s="68"/>
      <c r="K130" s="68"/>
      <c r="L130" s="68"/>
      <c r="P130" s="68"/>
    </row>
    <row r="131" spans="5:16" x14ac:dyDescent="0.25">
      <c r="E131" s="68"/>
      <c r="F131" s="68"/>
      <c r="G131" s="68"/>
      <c r="H131" s="68"/>
      <c r="I131" s="68"/>
      <c r="J131" s="68"/>
      <c r="K131" s="68"/>
      <c r="L131" s="68"/>
      <c r="P131" s="68"/>
    </row>
    <row r="132" spans="5:16" x14ac:dyDescent="0.25">
      <c r="E132" s="68"/>
      <c r="F132" s="68"/>
      <c r="G132" s="68"/>
      <c r="H132" s="68"/>
      <c r="I132" s="68"/>
      <c r="J132" s="68"/>
      <c r="K132" s="68"/>
      <c r="L132" s="68"/>
      <c r="P132" s="68"/>
    </row>
    <row r="133" spans="5:16" x14ac:dyDescent="0.25">
      <c r="E133" s="68"/>
      <c r="F133" s="68"/>
      <c r="G133" s="68"/>
      <c r="H133" s="68"/>
      <c r="I133" s="68"/>
      <c r="J133" s="68"/>
      <c r="K133" s="68"/>
      <c r="L133" s="68"/>
      <c r="P133" s="68"/>
    </row>
    <row r="134" spans="5:16" x14ac:dyDescent="0.25">
      <c r="E134" s="68"/>
      <c r="F134" s="68"/>
      <c r="G134" s="68"/>
      <c r="H134" s="68"/>
      <c r="I134" s="68"/>
      <c r="J134" s="68"/>
      <c r="K134" s="68"/>
      <c r="L134" s="68"/>
      <c r="P134" s="68"/>
    </row>
    <row r="135" spans="5:16" x14ac:dyDescent="0.25">
      <c r="E135" s="68"/>
      <c r="F135" s="68"/>
      <c r="G135" s="68"/>
      <c r="H135" s="68"/>
      <c r="I135" s="68"/>
      <c r="J135" s="68"/>
      <c r="K135" s="68"/>
      <c r="L135" s="68"/>
      <c r="P135" s="68"/>
    </row>
    <row r="136" spans="5:16" x14ac:dyDescent="0.25">
      <c r="E136" s="68"/>
      <c r="F136" s="68"/>
      <c r="G136" s="68"/>
      <c r="H136" s="68"/>
      <c r="I136" s="68"/>
      <c r="J136" s="68"/>
      <c r="K136" s="68"/>
      <c r="L136" s="68"/>
      <c r="P136" s="68"/>
    </row>
    <row r="137" spans="5:16" x14ac:dyDescent="0.25">
      <c r="E137" s="68"/>
      <c r="F137" s="68"/>
      <c r="G137" s="68"/>
      <c r="H137" s="68"/>
      <c r="I137" s="68"/>
      <c r="J137" s="68"/>
      <c r="K137" s="68"/>
      <c r="L137" s="68"/>
      <c r="P137" s="68"/>
    </row>
    <row r="138" spans="5:16" x14ac:dyDescent="0.25">
      <c r="E138" s="68"/>
      <c r="F138" s="68"/>
      <c r="G138" s="68"/>
      <c r="H138" s="68"/>
      <c r="I138" s="68"/>
      <c r="J138" s="68"/>
      <c r="K138" s="68"/>
      <c r="L138" s="68"/>
      <c r="P138" s="68"/>
    </row>
    <row r="139" spans="5:16" x14ac:dyDescent="0.25">
      <c r="E139" s="68"/>
      <c r="F139" s="68"/>
      <c r="G139" s="68"/>
      <c r="H139" s="68"/>
      <c r="I139" s="68"/>
      <c r="J139" s="68"/>
      <c r="K139" s="68"/>
      <c r="L139" s="68"/>
      <c r="P139" s="68"/>
    </row>
    <row r="140" spans="5:16" x14ac:dyDescent="0.25">
      <c r="E140" s="68"/>
      <c r="F140" s="68"/>
      <c r="G140" s="68"/>
      <c r="H140" s="68"/>
      <c r="I140" s="68"/>
      <c r="J140" s="68"/>
      <c r="K140" s="68"/>
      <c r="L140" s="68"/>
      <c r="P140" s="68"/>
    </row>
    <row r="141" spans="5:16" x14ac:dyDescent="0.25">
      <c r="E141" s="68"/>
      <c r="F141" s="68"/>
      <c r="G141" s="68"/>
      <c r="H141" s="68"/>
      <c r="I141" s="68"/>
      <c r="J141" s="68"/>
      <c r="K141" s="68"/>
      <c r="L141" s="68"/>
      <c r="P141" s="68"/>
    </row>
    <row r="142" spans="5:16" x14ac:dyDescent="0.25">
      <c r="E142" s="68"/>
      <c r="F142" s="68"/>
      <c r="G142" s="68"/>
      <c r="H142" s="68"/>
      <c r="I142" s="68"/>
      <c r="J142" s="68"/>
      <c r="K142" s="68"/>
      <c r="L142" s="68"/>
      <c r="P142" s="68"/>
    </row>
    <row r="143" spans="5:16" x14ac:dyDescent="0.25">
      <c r="E143" s="68"/>
      <c r="F143" s="68"/>
      <c r="G143" s="68"/>
      <c r="H143" s="68"/>
      <c r="I143" s="68"/>
      <c r="J143" s="68"/>
      <c r="K143" s="68"/>
      <c r="L143" s="68"/>
      <c r="P143" s="68"/>
    </row>
    <row r="144" spans="5:16" x14ac:dyDescent="0.25">
      <c r="E144" s="68"/>
      <c r="F144" s="68"/>
      <c r="G144" s="68"/>
      <c r="H144" s="68"/>
      <c r="I144" s="68"/>
      <c r="J144" s="68"/>
      <c r="K144" s="68"/>
      <c r="L144" s="68"/>
      <c r="P144" s="68"/>
    </row>
    <row r="145" spans="5:16" x14ac:dyDescent="0.25">
      <c r="E145" s="68"/>
      <c r="F145" s="68"/>
      <c r="G145" s="68"/>
      <c r="H145" s="68"/>
      <c r="I145" s="68"/>
      <c r="J145" s="68"/>
      <c r="K145" s="68"/>
      <c r="L145" s="68"/>
      <c r="P145" s="68"/>
    </row>
    <row r="146" spans="5:16" x14ac:dyDescent="0.25">
      <c r="E146" s="68"/>
      <c r="F146" s="68"/>
      <c r="G146" s="68"/>
      <c r="H146" s="68"/>
      <c r="I146" s="68"/>
      <c r="J146" s="68"/>
      <c r="K146" s="68"/>
      <c r="L146" s="68"/>
      <c r="P146" s="68"/>
    </row>
    <row r="147" spans="5:16" x14ac:dyDescent="0.25">
      <c r="E147" s="68"/>
      <c r="F147" s="68"/>
      <c r="G147" s="68"/>
      <c r="H147" s="68"/>
      <c r="I147" s="68"/>
      <c r="J147" s="68"/>
      <c r="K147" s="68"/>
      <c r="L147" s="68"/>
      <c r="P147" s="68"/>
    </row>
    <row r="148" spans="5:16" x14ac:dyDescent="0.25">
      <c r="E148" s="68"/>
      <c r="F148" s="68"/>
      <c r="G148" s="68"/>
      <c r="H148" s="68"/>
      <c r="I148" s="68"/>
      <c r="J148" s="68"/>
      <c r="K148" s="68"/>
      <c r="L148" s="68"/>
      <c r="P148" s="68"/>
    </row>
    <row r="149" spans="5:16" x14ac:dyDescent="0.25">
      <c r="E149" s="68"/>
      <c r="F149" s="68"/>
      <c r="G149" s="68"/>
      <c r="H149" s="68"/>
      <c r="I149" s="68"/>
      <c r="J149" s="68"/>
      <c r="K149" s="68"/>
      <c r="L149" s="68"/>
      <c r="P149" s="68"/>
    </row>
    <row r="150" spans="5:16" x14ac:dyDescent="0.25">
      <c r="E150" s="68"/>
      <c r="F150" s="68"/>
      <c r="G150" s="68"/>
      <c r="H150" s="68"/>
      <c r="I150" s="68"/>
      <c r="J150" s="68"/>
      <c r="K150" s="68"/>
      <c r="L150" s="68"/>
      <c r="P150" s="68"/>
    </row>
    <row r="151" spans="5:16" x14ac:dyDescent="0.25">
      <c r="E151" s="68"/>
      <c r="F151" s="68"/>
      <c r="G151" s="68"/>
      <c r="H151" s="68"/>
      <c r="I151" s="68"/>
      <c r="J151" s="68"/>
      <c r="K151" s="68"/>
      <c r="L151" s="68"/>
      <c r="P151" s="68"/>
    </row>
    <row r="152" spans="5:16" x14ac:dyDescent="0.25">
      <c r="E152" s="68"/>
      <c r="F152" s="68"/>
      <c r="G152" s="68"/>
      <c r="H152" s="68"/>
      <c r="I152" s="68"/>
      <c r="J152" s="68"/>
      <c r="K152" s="68"/>
      <c r="L152" s="68"/>
      <c r="P152" s="68"/>
    </row>
    <row r="153" spans="5:16" x14ac:dyDescent="0.25">
      <c r="E153" s="68"/>
      <c r="F153" s="68"/>
      <c r="G153" s="68"/>
      <c r="H153" s="68"/>
      <c r="I153" s="68"/>
      <c r="J153" s="68"/>
      <c r="K153" s="68"/>
      <c r="L153" s="68"/>
      <c r="P153" s="68"/>
    </row>
    <row r="154" spans="5:16" x14ac:dyDescent="0.25">
      <c r="E154" s="68"/>
      <c r="F154" s="68"/>
      <c r="G154" s="68"/>
      <c r="H154" s="68"/>
      <c r="I154" s="68"/>
      <c r="J154" s="68"/>
      <c r="K154" s="68"/>
      <c r="L154" s="68"/>
      <c r="P154" s="68"/>
    </row>
    <row r="155" spans="5:16" x14ac:dyDescent="0.25">
      <c r="E155" s="68"/>
      <c r="F155" s="68"/>
      <c r="G155" s="68"/>
      <c r="H155" s="68"/>
      <c r="I155" s="68"/>
      <c r="J155" s="68"/>
      <c r="K155" s="68"/>
      <c r="L155" s="68"/>
      <c r="P155" s="68"/>
    </row>
    <row r="156" spans="5:16" x14ac:dyDescent="0.25">
      <c r="E156" s="68"/>
      <c r="F156" s="68"/>
      <c r="G156" s="68"/>
      <c r="H156" s="68"/>
      <c r="I156" s="68"/>
      <c r="J156" s="68"/>
      <c r="K156" s="68"/>
      <c r="L156" s="68"/>
      <c r="P156" s="68"/>
    </row>
    <row r="157" spans="5:16" x14ac:dyDescent="0.25">
      <c r="E157" s="68"/>
      <c r="F157" s="68"/>
      <c r="G157" s="68"/>
      <c r="H157" s="68"/>
      <c r="I157" s="68"/>
      <c r="J157" s="68"/>
      <c r="K157" s="68"/>
      <c r="L157" s="68"/>
      <c r="P157" s="68"/>
    </row>
    <row r="158" spans="5:16" x14ac:dyDescent="0.25">
      <c r="E158" s="68"/>
      <c r="F158" s="68"/>
      <c r="G158" s="68"/>
      <c r="H158" s="68"/>
      <c r="I158" s="68"/>
      <c r="J158" s="68"/>
      <c r="K158" s="68"/>
      <c r="L158" s="68"/>
      <c r="P158" s="68"/>
    </row>
    <row r="159" spans="5:16" x14ac:dyDescent="0.25">
      <c r="E159" s="68"/>
      <c r="F159" s="68"/>
      <c r="G159" s="68"/>
      <c r="H159" s="68"/>
      <c r="I159" s="68"/>
      <c r="J159" s="68"/>
      <c r="K159" s="68"/>
      <c r="L159" s="68"/>
      <c r="P159" s="68"/>
    </row>
    <row r="160" spans="5:16" x14ac:dyDescent="0.25">
      <c r="E160" s="68"/>
      <c r="F160" s="68"/>
      <c r="G160" s="68"/>
      <c r="H160" s="68"/>
      <c r="I160" s="68"/>
      <c r="J160" s="68"/>
      <c r="K160" s="68"/>
      <c r="L160" s="68"/>
      <c r="P160" s="68"/>
    </row>
    <row r="161" spans="5:16" x14ac:dyDescent="0.25">
      <c r="E161" s="68"/>
      <c r="F161" s="68"/>
      <c r="G161" s="68"/>
      <c r="H161" s="68"/>
      <c r="I161" s="68"/>
      <c r="J161" s="68"/>
      <c r="K161" s="68"/>
      <c r="L161" s="68"/>
      <c r="P161" s="68"/>
    </row>
    <row r="162" spans="5:16" x14ac:dyDescent="0.25">
      <c r="E162" s="68"/>
      <c r="F162" s="68"/>
      <c r="G162" s="68"/>
      <c r="H162" s="68"/>
      <c r="I162" s="68"/>
      <c r="J162" s="68"/>
      <c r="K162" s="68"/>
      <c r="L162" s="68"/>
      <c r="P162" s="68"/>
    </row>
    <row r="163" spans="5:16" x14ac:dyDescent="0.25">
      <c r="E163" s="68"/>
      <c r="F163" s="68"/>
      <c r="G163" s="68"/>
      <c r="H163" s="68"/>
      <c r="I163" s="68"/>
      <c r="J163" s="68"/>
      <c r="K163" s="68"/>
      <c r="L163" s="68"/>
      <c r="P163" s="68"/>
    </row>
    <row r="164" spans="5:16" x14ac:dyDescent="0.25">
      <c r="E164" s="68"/>
      <c r="F164" s="68"/>
      <c r="G164" s="68"/>
      <c r="H164" s="68"/>
      <c r="I164" s="68"/>
      <c r="J164" s="68"/>
      <c r="K164" s="68"/>
      <c r="L164" s="68"/>
      <c r="P164" s="68"/>
    </row>
    <row r="165" spans="5:16" x14ac:dyDescent="0.25">
      <c r="E165" s="68"/>
      <c r="F165" s="68"/>
      <c r="G165" s="68"/>
      <c r="H165" s="68"/>
      <c r="I165" s="68"/>
      <c r="J165" s="68"/>
      <c r="K165" s="68"/>
      <c r="L165" s="68"/>
      <c r="P165" s="68"/>
    </row>
    <row r="166" spans="5:16" x14ac:dyDescent="0.25">
      <c r="E166" s="68"/>
      <c r="F166" s="68"/>
      <c r="G166" s="68"/>
      <c r="H166" s="68"/>
      <c r="I166" s="68"/>
      <c r="J166" s="68"/>
      <c r="K166" s="68"/>
      <c r="L166" s="68"/>
      <c r="P166" s="68"/>
    </row>
    <row r="167" spans="5:16" x14ac:dyDescent="0.25">
      <c r="E167" s="68"/>
      <c r="F167" s="68"/>
      <c r="G167" s="68"/>
      <c r="H167" s="68"/>
      <c r="I167" s="68"/>
      <c r="J167" s="68"/>
      <c r="K167" s="68"/>
      <c r="L167" s="68"/>
      <c r="P167" s="68"/>
    </row>
    <row r="168" spans="5:16" x14ac:dyDescent="0.25">
      <c r="E168" s="68"/>
      <c r="F168" s="68"/>
      <c r="G168" s="68"/>
      <c r="H168" s="68"/>
      <c r="I168" s="68"/>
      <c r="J168" s="68"/>
      <c r="K168" s="68"/>
      <c r="L168" s="68"/>
      <c r="P168" s="68"/>
    </row>
    <row r="169" spans="5:16" x14ac:dyDescent="0.25">
      <c r="E169" s="68"/>
      <c r="F169" s="68"/>
      <c r="G169" s="68"/>
      <c r="H169" s="68"/>
      <c r="I169" s="68"/>
      <c r="J169" s="68"/>
      <c r="K169" s="68"/>
      <c r="L169" s="68"/>
      <c r="P169" s="68"/>
    </row>
    <row r="170" spans="5:16" x14ac:dyDescent="0.25">
      <c r="E170" s="68"/>
      <c r="F170" s="68"/>
      <c r="G170" s="68"/>
      <c r="H170" s="68"/>
      <c r="I170" s="68"/>
      <c r="J170" s="68"/>
      <c r="K170" s="68"/>
      <c r="L170" s="68"/>
      <c r="P170" s="68"/>
    </row>
    <row r="171" spans="5:16" x14ac:dyDescent="0.25">
      <c r="E171" s="68"/>
      <c r="F171" s="68"/>
      <c r="G171" s="68"/>
      <c r="H171" s="68"/>
      <c r="I171" s="68"/>
      <c r="J171" s="68"/>
      <c r="K171" s="68"/>
      <c r="L171" s="68"/>
      <c r="P171" s="68"/>
    </row>
    <row r="172" spans="5:16" x14ac:dyDescent="0.25">
      <c r="E172" s="68"/>
      <c r="F172" s="68"/>
      <c r="G172" s="68"/>
      <c r="H172" s="68"/>
      <c r="I172" s="68"/>
      <c r="J172" s="68"/>
      <c r="K172" s="68"/>
      <c r="L172" s="68"/>
      <c r="P172" s="68"/>
    </row>
    <row r="173" spans="5:16" x14ac:dyDescent="0.25">
      <c r="E173" s="68"/>
      <c r="F173" s="68"/>
      <c r="G173" s="68"/>
      <c r="H173" s="68"/>
      <c r="I173" s="68"/>
      <c r="J173" s="68"/>
      <c r="K173" s="68"/>
      <c r="L173" s="68"/>
      <c r="P173" s="68"/>
    </row>
    <row r="174" spans="5:16" x14ac:dyDescent="0.25">
      <c r="E174" s="68"/>
      <c r="F174" s="68"/>
      <c r="G174" s="68"/>
      <c r="H174" s="68"/>
      <c r="I174" s="68"/>
      <c r="J174" s="68"/>
      <c r="K174" s="68"/>
      <c r="L174" s="68"/>
      <c r="P174" s="68"/>
    </row>
    <row r="175" spans="5:16" x14ac:dyDescent="0.25">
      <c r="E175" s="68"/>
      <c r="F175" s="68"/>
      <c r="G175" s="68"/>
      <c r="H175" s="68"/>
      <c r="I175" s="68"/>
      <c r="J175" s="68"/>
      <c r="K175" s="68"/>
      <c r="L175" s="68"/>
      <c r="P175" s="68"/>
    </row>
    <row r="176" spans="5:16" x14ac:dyDescent="0.25">
      <c r="E176" s="68"/>
      <c r="F176" s="68"/>
      <c r="G176" s="68"/>
      <c r="H176" s="68"/>
      <c r="I176" s="68"/>
      <c r="J176" s="68"/>
      <c r="K176" s="68"/>
      <c r="L176" s="68"/>
      <c r="P176" s="68"/>
    </row>
    <row r="177" spans="5:16" x14ac:dyDescent="0.25">
      <c r="E177" s="68"/>
      <c r="F177" s="68"/>
      <c r="G177" s="68"/>
      <c r="H177" s="68"/>
      <c r="I177" s="68"/>
      <c r="J177" s="68"/>
      <c r="K177" s="68"/>
      <c r="L177" s="68"/>
      <c r="P177" s="68"/>
    </row>
    <row r="178" spans="5:16" x14ac:dyDescent="0.25">
      <c r="E178" s="68"/>
      <c r="F178" s="68"/>
      <c r="G178" s="68"/>
      <c r="H178" s="68"/>
      <c r="I178" s="68"/>
      <c r="J178" s="68"/>
      <c r="K178" s="68"/>
      <c r="L178" s="68"/>
      <c r="P178" s="68"/>
    </row>
    <row r="179" spans="5:16" x14ac:dyDescent="0.25">
      <c r="E179" s="68"/>
      <c r="F179" s="68"/>
      <c r="G179" s="68"/>
      <c r="H179" s="68"/>
      <c r="I179" s="68"/>
      <c r="J179" s="68"/>
      <c r="K179" s="68"/>
      <c r="L179" s="68"/>
      <c r="P179" s="68"/>
    </row>
    <row r="180" spans="5:16" x14ac:dyDescent="0.25">
      <c r="E180" s="68"/>
      <c r="F180" s="68"/>
      <c r="G180" s="68"/>
      <c r="H180" s="68"/>
      <c r="I180" s="68"/>
      <c r="J180" s="68"/>
      <c r="K180" s="68"/>
      <c r="L180" s="68"/>
      <c r="P180" s="68"/>
    </row>
    <row r="181" spans="5:16" x14ac:dyDescent="0.25">
      <c r="E181" s="68"/>
      <c r="F181" s="68"/>
      <c r="G181" s="68"/>
      <c r="H181" s="68"/>
      <c r="I181" s="68"/>
      <c r="J181" s="68"/>
      <c r="K181" s="68"/>
      <c r="L181" s="68"/>
      <c r="P181" s="68"/>
    </row>
    <row r="182" spans="5:16" x14ac:dyDescent="0.25">
      <c r="E182" s="68"/>
      <c r="F182" s="68"/>
      <c r="G182" s="68"/>
      <c r="H182" s="68"/>
      <c r="I182" s="68"/>
      <c r="J182" s="68"/>
      <c r="K182" s="68"/>
      <c r="L182" s="68"/>
      <c r="P182" s="68"/>
    </row>
    <row r="183" spans="5:16" x14ac:dyDescent="0.25">
      <c r="E183" s="68"/>
      <c r="F183" s="68"/>
      <c r="G183" s="68"/>
      <c r="H183" s="68"/>
      <c r="I183" s="68"/>
      <c r="J183" s="68"/>
      <c r="K183" s="68"/>
      <c r="L183" s="68"/>
      <c r="P183" s="68"/>
    </row>
    <row r="184" spans="5:16" x14ac:dyDescent="0.25">
      <c r="E184" s="68"/>
      <c r="F184" s="68"/>
      <c r="G184" s="68"/>
      <c r="H184" s="68"/>
      <c r="I184" s="68"/>
      <c r="J184" s="68"/>
      <c r="K184" s="68"/>
      <c r="L184" s="68"/>
      <c r="P184" s="68"/>
    </row>
    <row r="185" spans="5:16" x14ac:dyDescent="0.25">
      <c r="E185" s="68"/>
      <c r="F185" s="68"/>
      <c r="G185" s="68"/>
      <c r="H185" s="68"/>
      <c r="I185" s="68"/>
      <c r="J185" s="68"/>
      <c r="K185" s="68"/>
      <c r="L185" s="68"/>
      <c r="P185" s="68"/>
    </row>
    <row r="186" spans="5:16" x14ac:dyDescent="0.25">
      <c r="E186" s="68"/>
      <c r="F186" s="68"/>
      <c r="G186" s="68"/>
      <c r="H186" s="68"/>
      <c r="I186" s="68"/>
      <c r="J186" s="68"/>
      <c r="K186" s="68"/>
      <c r="L186" s="68"/>
      <c r="P186" s="68"/>
    </row>
    <row r="187" spans="5:16" x14ac:dyDescent="0.25">
      <c r="E187" s="68"/>
      <c r="F187" s="68"/>
      <c r="G187" s="68"/>
      <c r="H187" s="68"/>
      <c r="I187" s="68"/>
      <c r="J187" s="68"/>
      <c r="K187" s="68"/>
      <c r="L187" s="68"/>
      <c r="P187" s="68"/>
    </row>
    <row r="188" spans="5:16" x14ac:dyDescent="0.25">
      <c r="E188" s="68"/>
      <c r="F188" s="68"/>
      <c r="G188" s="68"/>
      <c r="H188" s="68"/>
      <c r="I188" s="68"/>
      <c r="J188" s="68"/>
      <c r="K188" s="68"/>
      <c r="L188" s="68"/>
      <c r="P188" s="68"/>
    </row>
    <row r="189" spans="5:16" x14ac:dyDescent="0.25">
      <c r="E189" s="68"/>
      <c r="F189" s="68"/>
      <c r="G189" s="68"/>
      <c r="H189" s="68"/>
      <c r="I189" s="68"/>
      <c r="J189" s="68"/>
      <c r="K189" s="68"/>
      <c r="L189" s="68"/>
      <c r="P189" s="68"/>
    </row>
    <row r="190" spans="5:16" x14ac:dyDescent="0.25">
      <c r="E190" s="68"/>
      <c r="F190" s="68"/>
      <c r="G190" s="68"/>
      <c r="H190" s="68"/>
      <c r="I190" s="68"/>
      <c r="J190" s="68"/>
      <c r="K190" s="68"/>
      <c r="L190" s="68"/>
      <c r="P190" s="68"/>
    </row>
    <row r="191" spans="5:16" x14ac:dyDescent="0.25">
      <c r="E191" s="68"/>
      <c r="F191" s="68"/>
      <c r="G191" s="68"/>
      <c r="H191" s="68"/>
      <c r="I191" s="68"/>
      <c r="J191" s="68"/>
      <c r="K191" s="68"/>
      <c r="L191" s="68"/>
      <c r="P191" s="68"/>
    </row>
    <row r="192" spans="5:16" x14ac:dyDescent="0.25">
      <c r="E192" s="68"/>
      <c r="F192" s="68"/>
      <c r="G192" s="68"/>
      <c r="H192" s="68"/>
      <c r="I192" s="68"/>
      <c r="J192" s="68"/>
      <c r="K192" s="68"/>
      <c r="L192" s="68"/>
      <c r="P192" s="68"/>
    </row>
    <row r="193" spans="5:16" x14ac:dyDescent="0.25">
      <c r="E193" s="68"/>
      <c r="F193" s="68"/>
      <c r="G193" s="68"/>
      <c r="H193" s="68"/>
      <c r="I193" s="68"/>
      <c r="J193" s="68"/>
      <c r="K193" s="68"/>
      <c r="L193" s="68"/>
      <c r="P193" s="68"/>
    </row>
    <row r="194" spans="5:16" x14ac:dyDescent="0.25">
      <c r="E194" s="68"/>
      <c r="F194" s="68"/>
      <c r="G194" s="68"/>
      <c r="H194" s="68"/>
      <c r="I194" s="68"/>
      <c r="J194" s="68"/>
      <c r="K194" s="68"/>
      <c r="L194" s="68"/>
      <c r="P194" s="68"/>
    </row>
    <row r="195" spans="5:16" x14ac:dyDescent="0.25">
      <c r="E195" s="68"/>
      <c r="F195" s="68"/>
      <c r="G195" s="68"/>
      <c r="H195" s="68"/>
      <c r="I195" s="68"/>
      <c r="J195" s="68"/>
      <c r="K195" s="68"/>
      <c r="L195" s="68"/>
      <c r="P195" s="68"/>
    </row>
    <row r="196" spans="5:16" x14ac:dyDescent="0.25">
      <c r="E196" s="68"/>
      <c r="F196" s="68"/>
      <c r="G196" s="68"/>
      <c r="H196" s="68"/>
      <c r="I196" s="68"/>
      <c r="J196" s="68"/>
      <c r="K196" s="68"/>
      <c r="L196" s="68"/>
      <c r="P196" s="68"/>
    </row>
    <row r="197" spans="5:16" x14ac:dyDescent="0.25">
      <c r="E197" s="68"/>
      <c r="F197" s="68"/>
      <c r="G197" s="68"/>
      <c r="H197" s="68"/>
      <c r="I197" s="68"/>
      <c r="J197" s="68"/>
      <c r="K197" s="68"/>
      <c r="L197" s="68"/>
      <c r="P197" s="68"/>
    </row>
    <row r="198" spans="5:16" x14ac:dyDescent="0.25">
      <c r="E198" s="68"/>
      <c r="F198" s="68"/>
      <c r="G198" s="68"/>
      <c r="H198" s="68"/>
      <c r="I198" s="68"/>
      <c r="J198" s="68"/>
      <c r="K198" s="68"/>
      <c r="L198" s="68"/>
      <c r="P198" s="68"/>
    </row>
    <row r="199" spans="5:16" x14ac:dyDescent="0.25">
      <c r="E199" s="68"/>
      <c r="F199" s="68"/>
      <c r="G199" s="68"/>
      <c r="H199" s="68"/>
      <c r="I199" s="68"/>
      <c r="J199" s="68"/>
      <c r="K199" s="68"/>
      <c r="L199" s="68"/>
      <c r="P199" s="68"/>
    </row>
    <row r="200" spans="5:16" x14ac:dyDescent="0.25">
      <c r="E200" s="68"/>
      <c r="F200" s="68"/>
      <c r="G200" s="68"/>
      <c r="H200" s="68"/>
      <c r="I200" s="68"/>
      <c r="J200" s="68"/>
      <c r="K200" s="68"/>
      <c r="L200" s="68"/>
      <c r="P200" s="68"/>
    </row>
    <row r="201" spans="5:16" x14ac:dyDescent="0.25">
      <c r="E201" s="68"/>
      <c r="F201" s="68"/>
      <c r="G201" s="68"/>
      <c r="H201" s="68"/>
      <c r="I201" s="68"/>
      <c r="J201" s="68"/>
      <c r="K201" s="68"/>
      <c r="L201" s="68"/>
      <c r="P201" s="68"/>
    </row>
    <row r="202" spans="5:16" x14ac:dyDescent="0.25">
      <c r="E202" s="68"/>
      <c r="F202" s="68"/>
      <c r="G202" s="68"/>
      <c r="H202" s="68"/>
      <c r="I202" s="68"/>
      <c r="J202" s="68"/>
      <c r="K202" s="68"/>
      <c r="L202" s="68"/>
      <c r="P202" s="68"/>
    </row>
    <row r="203" spans="5:16" x14ac:dyDescent="0.25">
      <c r="E203" s="68"/>
      <c r="F203" s="68"/>
      <c r="G203" s="68"/>
      <c r="H203" s="68"/>
      <c r="I203" s="68"/>
      <c r="J203" s="68"/>
      <c r="K203" s="68"/>
      <c r="L203" s="68"/>
      <c r="P203" s="68"/>
    </row>
    <row r="204" spans="5:16" x14ac:dyDescent="0.25">
      <c r="E204" s="68"/>
      <c r="F204" s="68"/>
      <c r="G204" s="68"/>
      <c r="H204" s="68"/>
      <c r="I204" s="68"/>
      <c r="J204" s="68"/>
      <c r="K204" s="68"/>
      <c r="L204" s="68"/>
      <c r="P204" s="68"/>
    </row>
    <row r="205" spans="5:16" x14ac:dyDescent="0.25">
      <c r="E205" s="68"/>
      <c r="F205" s="68"/>
      <c r="G205" s="68"/>
      <c r="H205" s="68"/>
      <c r="I205" s="68"/>
      <c r="J205" s="68"/>
      <c r="K205" s="68"/>
      <c r="L205" s="68"/>
      <c r="P205" s="68"/>
    </row>
    <row r="206" spans="5:16" x14ac:dyDescent="0.25">
      <c r="E206" s="68"/>
      <c r="F206" s="68"/>
      <c r="G206" s="68"/>
      <c r="H206" s="68"/>
      <c r="I206" s="68"/>
      <c r="J206" s="68"/>
      <c r="K206" s="68"/>
      <c r="L206" s="68"/>
      <c r="P206" s="68"/>
    </row>
    <row r="207" spans="5:16" x14ac:dyDescent="0.25">
      <c r="E207" s="68"/>
      <c r="F207" s="68"/>
      <c r="G207" s="68"/>
      <c r="H207" s="68"/>
      <c r="I207" s="68"/>
      <c r="J207" s="68"/>
      <c r="K207" s="68"/>
      <c r="L207" s="68"/>
      <c r="P207" s="68"/>
    </row>
    <row r="208" spans="5:16" x14ac:dyDescent="0.25">
      <c r="E208" s="68"/>
      <c r="F208" s="68"/>
      <c r="G208" s="68"/>
      <c r="H208" s="68"/>
      <c r="I208" s="68"/>
      <c r="J208" s="68"/>
      <c r="K208" s="68"/>
      <c r="L208" s="68"/>
      <c r="P208" s="68"/>
    </row>
    <row r="209" spans="5:16" x14ac:dyDescent="0.25">
      <c r="E209" s="68"/>
      <c r="F209" s="68"/>
      <c r="G209" s="68"/>
      <c r="H209" s="68"/>
      <c r="I209" s="68"/>
      <c r="J209" s="68"/>
      <c r="K209" s="68"/>
      <c r="L209" s="68"/>
      <c r="P209" s="68"/>
    </row>
    <row r="210" spans="5:16" x14ac:dyDescent="0.25">
      <c r="E210" s="68"/>
      <c r="F210" s="68"/>
      <c r="G210" s="68"/>
      <c r="H210" s="68"/>
      <c r="I210" s="68"/>
      <c r="J210" s="68"/>
      <c r="K210" s="68"/>
      <c r="L210" s="68"/>
      <c r="P210" s="68"/>
    </row>
    <row r="211" spans="5:16" x14ac:dyDescent="0.25">
      <c r="E211" s="68"/>
      <c r="F211" s="68"/>
      <c r="G211" s="68"/>
      <c r="H211" s="68"/>
      <c r="I211" s="68"/>
      <c r="J211" s="68"/>
      <c r="K211" s="68"/>
      <c r="L211" s="68"/>
      <c r="P211" s="68"/>
    </row>
    <row r="212" spans="5:16" x14ac:dyDescent="0.25">
      <c r="E212" s="68"/>
      <c r="F212" s="68"/>
      <c r="G212" s="68"/>
      <c r="H212" s="68"/>
      <c r="I212" s="68"/>
      <c r="J212" s="68"/>
      <c r="K212" s="68"/>
      <c r="L212" s="68"/>
      <c r="P212" s="68"/>
    </row>
    <row r="213" spans="5:16" x14ac:dyDescent="0.25">
      <c r="E213" s="68"/>
      <c r="F213" s="68"/>
      <c r="G213" s="68"/>
      <c r="H213" s="68"/>
      <c r="I213" s="68"/>
      <c r="J213" s="68"/>
      <c r="K213" s="68"/>
      <c r="L213" s="68"/>
      <c r="P213" s="68"/>
    </row>
    <row r="214" spans="5:16" x14ac:dyDescent="0.25">
      <c r="E214" s="68"/>
      <c r="F214" s="68"/>
      <c r="G214" s="68"/>
      <c r="H214" s="68"/>
      <c r="I214" s="68"/>
      <c r="J214" s="68"/>
      <c r="K214" s="68"/>
      <c r="L214" s="68"/>
      <c r="P214" s="68"/>
    </row>
    <row r="215" spans="5:16" x14ac:dyDescent="0.25">
      <c r="E215" s="68"/>
      <c r="F215" s="68"/>
      <c r="G215" s="68"/>
      <c r="H215" s="68"/>
      <c r="I215" s="68"/>
      <c r="J215" s="68"/>
      <c r="K215" s="68"/>
      <c r="L215" s="68"/>
      <c r="P215" s="68"/>
    </row>
    <row r="216" spans="5:16" x14ac:dyDescent="0.25">
      <c r="E216" s="68"/>
      <c r="F216" s="68"/>
      <c r="G216" s="68"/>
      <c r="H216" s="68"/>
      <c r="I216" s="68"/>
      <c r="J216" s="68"/>
      <c r="K216" s="68"/>
      <c r="L216" s="68"/>
      <c r="P216" s="68"/>
    </row>
    <row r="217" spans="5:16" x14ac:dyDescent="0.25">
      <c r="E217" s="68"/>
      <c r="F217" s="68"/>
      <c r="G217" s="68"/>
      <c r="H217" s="68"/>
      <c r="I217" s="68"/>
      <c r="J217" s="68"/>
      <c r="K217" s="68"/>
      <c r="L217" s="68"/>
      <c r="P217" s="68"/>
    </row>
    <row r="218" spans="5:16" x14ac:dyDescent="0.25">
      <c r="E218" s="68"/>
      <c r="F218" s="68"/>
      <c r="G218" s="68"/>
      <c r="H218" s="68"/>
      <c r="I218" s="68"/>
      <c r="J218" s="68"/>
      <c r="K218" s="68"/>
      <c r="L218" s="68"/>
      <c r="P218" s="68"/>
    </row>
    <row r="219" spans="5:16" x14ac:dyDescent="0.25">
      <c r="E219" s="68"/>
      <c r="F219" s="68"/>
      <c r="G219" s="68"/>
      <c r="H219" s="68"/>
      <c r="I219" s="68"/>
      <c r="J219" s="68"/>
      <c r="K219" s="68"/>
      <c r="L219" s="68"/>
      <c r="P219" s="68"/>
    </row>
    <row r="220" spans="5:16" x14ac:dyDescent="0.25">
      <c r="E220" s="68"/>
      <c r="F220" s="68"/>
      <c r="G220" s="68"/>
      <c r="H220" s="68"/>
      <c r="I220" s="68"/>
      <c r="J220" s="68"/>
      <c r="K220" s="68"/>
      <c r="L220" s="68"/>
      <c r="P220" s="68"/>
    </row>
    <row r="221" spans="5:16" x14ac:dyDescent="0.25">
      <c r="E221" s="68"/>
      <c r="F221" s="68"/>
      <c r="G221" s="68"/>
      <c r="H221" s="68"/>
      <c r="I221" s="68"/>
      <c r="J221" s="68"/>
      <c r="K221" s="68"/>
      <c r="L221" s="68"/>
      <c r="P221" s="68"/>
    </row>
    <row r="222" spans="5:16" x14ac:dyDescent="0.25">
      <c r="E222" s="68"/>
      <c r="F222" s="68"/>
      <c r="G222" s="68"/>
      <c r="H222" s="68"/>
      <c r="I222" s="68"/>
      <c r="J222" s="68"/>
      <c r="K222" s="68"/>
      <c r="L222" s="68"/>
      <c r="P222" s="68"/>
    </row>
    <row r="223" spans="5:16" x14ac:dyDescent="0.25">
      <c r="E223" s="68"/>
      <c r="F223" s="68"/>
      <c r="G223" s="68"/>
      <c r="H223" s="68"/>
      <c r="I223" s="68"/>
      <c r="J223" s="68"/>
      <c r="K223" s="68"/>
      <c r="L223" s="68"/>
      <c r="P223" s="68"/>
    </row>
    <row r="224" spans="5:16" x14ac:dyDescent="0.25">
      <c r="E224" s="68"/>
      <c r="F224" s="68"/>
      <c r="G224" s="68"/>
      <c r="H224" s="68"/>
      <c r="I224" s="68"/>
      <c r="J224" s="68"/>
      <c r="K224" s="68"/>
      <c r="L224" s="68"/>
      <c r="P224" s="68"/>
    </row>
    <row r="225" spans="5:16" x14ac:dyDescent="0.25">
      <c r="E225" s="68"/>
      <c r="F225" s="68"/>
      <c r="G225" s="68"/>
      <c r="H225" s="68"/>
      <c r="I225" s="68"/>
      <c r="J225" s="68"/>
      <c r="K225" s="68"/>
      <c r="L225" s="68"/>
      <c r="P225" s="68"/>
    </row>
    <row r="226" spans="5:16" x14ac:dyDescent="0.25">
      <c r="E226" s="68"/>
      <c r="F226" s="68"/>
      <c r="G226" s="68"/>
      <c r="H226" s="68"/>
      <c r="I226" s="68"/>
      <c r="J226" s="68"/>
      <c r="K226" s="68"/>
      <c r="L226" s="68"/>
      <c r="P226" s="68"/>
    </row>
    <row r="227" spans="5:16" x14ac:dyDescent="0.25">
      <c r="E227" s="68"/>
      <c r="F227" s="68"/>
      <c r="G227" s="68"/>
      <c r="H227" s="68"/>
      <c r="I227" s="68"/>
      <c r="J227" s="68"/>
      <c r="K227" s="68"/>
      <c r="L227" s="68"/>
      <c r="P227" s="68"/>
    </row>
    <row r="228" spans="5:16" x14ac:dyDescent="0.25">
      <c r="E228" s="68"/>
      <c r="F228" s="68"/>
      <c r="G228" s="68"/>
      <c r="H228" s="68"/>
      <c r="I228" s="68"/>
      <c r="J228" s="68"/>
      <c r="K228" s="68"/>
      <c r="L228" s="68"/>
      <c r="P228" s="68"/>
    </row>
    <row r="229" spans="5:16" x14ac:dyDescent="0.25">
      <c r="E229" s="68"/>
      <c r="F229" s="68"/>
      <c r="G229" s="68"/>
      <c r="H229" s="68"/>
      <c r="I229" s="68"/>
      <c r="J229" s="68"/>
      <c r="K229" s="68"/>
      <c r="L229" s="68"/>
      <c r="P229" s="68"/>
    </row>
    <row r="230" spans="5:16" x14ac:dyDescent="0.25">
      <c r="E230" s="68"/>
      <c r="F230" s="68"/>
      <c r="G230" s="68"/>
      <c r="H230" s="68"/>
      <c r="I230" s="68"/>
      <c r="J230" s="68"/>
      <c r="K230" s="68"/>
      <c r="L230" s="68"/>
      <c r="P230" s="68"/>
    </row>
    <row r="231" spans="5:16" x14ac:dyDescent="0.25">
      <c r="E231" s="68"/>
      <c r="F231" s="68"/>
      <c r="G231" s="68"/>
      <c r="H231" s="68"/>
      <c r="I231" s="68"/>
      <c r="J231" s="68"/>
      <c r="K231" s="68"/>
      <c r="L231" s="68"/>
      <c r="P231" s="68"/>
    </row>
    <row r="232" spans="5:16" x14ac:dyDescent="0.25">
      <c r="E232" s="68"/>
      <c r="F232" s="68"/>
      <c r="G232" s="68"/>
      <c r="H232" s="68"/>
      <c r="I232" s="68"/>
      <c r="J232" s="68"/>
      <c r="K232" s="68"/>
      <c r="L232" s="68"/>
      <c r="P232" s="68"/>
    </row>
    <row r="233" spans="5:16" x14ac:dyDescent="0.25">
      <c r="E233" s="68"/>
      <c r="F233" s="68"/>
      <c r="G233" s="68"/>
      <c r="H233" s="68"/>
      <c r="I233" s="68"/>
      <c r="J233" s="68"/>
      <c r="K233" s="68"/>
      <c r="L233" s="68"/>
      <c r="P233" s="68"/>
    </row>
    <row r="234" spans="5:16" x14ac:dyDescent="0.25">
      <c r="E234" s="68"/>
      <c r="F234" s="68"/>
      <c r="G234" s="68"/>
      <c r="H234" s="68"/>
      <c r="I234" s="68"/>
      <c r="J234" s="68"/>
      <c r="K234" s="68"/>
      <c r="L234" s="68"/>
      <c r="P234" s="68"/>
    </row>
    <row r="235" spans="5:16" x14ac:dyDescent="0.25">
      <c r="E235" s="68"/>
      <c r="F235" s="68"/>
      <c r="G235" s="68"/>
      <c r="H235" s="68"/>
      <c r="I235" s="68"/>
      <c r="J235" s="68"/>
      <c r="K235" s="68"/>
      <c r="L235" s="68"/>
      <c r="P235" s="68"/>
    </row>
    <row r="236" spans="5:16" x14ac:dyDescent="0.25">
      <c r="E236" s="68"/>
      <c r="F236" s="68"/>
      <c r="G236" s="68"/>
      <c r="H236" s="68"/>
      <c r="I236" s="68"/>
      <c r="J236" s="68"/>
      <c r="K236" s="68"/>
      <c r="L236" s="68"/>
      <c r="P236" s="68"/>
    </row>
    <row r="237" spans="5:16" x14ac:dyDescent="0.25">
      <c r="E237" s="68"/>
      <c r="F237" s="68"/>
      <c r="G237" s="68"/>
      <c r="H237" s="68"/>
      <c r="I237" s="68"/>
      <c r="J237" s="68"/>
      <c r="K237" s="68"/>
      <c r="L237" s="68"/>
      <c r="P237" s="68"/>
    </row>
    <row r="238" spans="5:16" x14ac:dyDescent="0.25">
      <c r="E238" s="68"/>
      <c r="F238" s="68"/>
      <c r="G238" s="68"/>
      <c r="H238" s="68"/>
      <c r="I238" s="68"/>
      <c r="J238" s="68"/>
      <c r="K238" s="68"/>
      <c r="L238" s="68"/>
      <c r="P238" s="68"/>
    </row>
    <row r="239" spans="5:16" x14ac:dyDescent="0.25">
      <c r="E239" s="68"/>
      <c r="F239" s="68"/>
      <c r="G239" s="68"/>
      <c r="H239" s="68"/>
      <c r="I239" s="68"/>
      <c r="J239" s="68"/>
      <c r="K239" s="68"/>
      <c r="L239" s="68"/>
      <c r="P239" s="68"/>
    </row>
    <row r="240" spans="5:16" x14ac:dyDescent="0.25">
      <c r="E240" s="68"/>
      <c r="F240" s="68"/>
      <c r="G240" s="68"/>
      <c r="H240" s="68"/>
      <c r="I240" s="68"/>
      <c r="J240" s="68"/>
      <c r="K240" s="68"/>
      <c r="L240" s="68"/>
      <c r="P240" s="68"/>
    </row>
    <row r="241" spans="5:16" x14ac:dyDescent="0.25">
      <c r="E241" s="68"/>
      <c r="F241" s="68"/>
      <c r="G241" s="68"/>
      <c r="H241" s="68"/>
      <c r="I241" s="68"/>
      <c r="J241" s="68"/>
      <c r="K241" s="68"/>
      <c r="L241" s="68"/>
      <c r="P241" s="68"/>
    </row>
    <row r="242" spans="5:16" x14ac:dyDescent="0.25">
      <c r="E242" s="68"/>
      <c r="F242" s="68"/>
      <c r="G242" s="68"/>
      <c r="H242" s="68"/>
      <c r="I242" s="68"/>
      <c r="J242" s="68"/>
      <c r="K242" s="68"/>
      <c r="L242" s="68"/>
      <c r="P242" s="68"/>
    </row>
    <row r="243" spans="5:16" x14ac:dyDescent="0.25">
      <c r="E243" s="68"/>
      <c r="F243" s="68"/>
      <c r="G243" s="68"/>
      <c r="H243" s="68"/>
      <c r="I243" s="68"/>
      <c r="J243" s="68"/>
      <c r="K243" s="68"/>
      <c r="L243" s="68"/>
      <c r="P243" s="68"/>
    </row>
    <row r="244" spans="5:16" x14ac:dyDescent="0.25">
      <c r="E244" s="68"/>
      <c r="F244" s="68"/>
      <c r="G244" s="68"/>
      <c r="H244" s="68"/>
      <c r="I244" s="68"/>
      <c r="J244" s="68"/>
      <c r="K244" s="68"/>
      <c r="L244" s="68"/>
      <c r="P244" s="68"/>
    </row>
    <row r="245" spans="5:16" x14ac:dyDescent="0.25">
      <c r="E245" s="68"/>
      <c r="F245" s="68"/>
      <c r="G245" s="68"/>
      <c r="H245" s="68"/>
      <c r="I245" s="68"/>
      <c r="J245" s="68"/>
      <c r="K245" s="68"/>
      <c r="L245" s="68"/>
      <c r="P245" s="68"/>
    </row>
    <row r="246" spans="5:16" x14ac:dyDescent="0.25">
      <c r="E246" s="68"/>
      <c r="F246" s="68"/>
      <c r="G246" s="68"/>
      <c r="H246" s="68"/>
      <c r="I246" s="68"/>
      <c r="J246" s="68"/>
      <c r="K246" s="68"/>
      <c r="L246" s="68"/>
      <c r="P246" s="68"/>
    </row>
    <row r="247" spans="5:16" x14ac:dyDescent="0.25">
      <c r="E247" s="68"/>
      <c r="F247" s="68"/>
      <c r="G247" s="68"/>
      <c r="H247" s="68"/>
      <c r="I247" s="68"/>
      <c r="J247" s="68"/>
      <c r="K247" s="68"/>
      <c r="L247" s="68"/>
      <c r="P247" s="68"/>
    </row>
    <row r="248" spans="5:16" x14ac:dyDescent="0.25">
      <c r="E248" s="68"/>
      <c r="F248" s="68"/>
      <c r="G248" s="68"/>
      <c r="H248" s="68"/>
      <c r="I248" s="68"/>
      <c r="J248" s="68"/>
      <c r="K248" s="68"/>
      <c r="L248" s="68"/>
      <c r="P248" s="68"/>
    </row>
    <row r="249" spans="5:16" x14ac:dyDescent="0.25">
      <c r="E249" s="68"/>
      <c r="F249" s="68"/>
      <c r="G249" s="68"/>
      <c r="H249" s="68"/>
      <c r="I249" s="68"/>
      <c r="J249" s="68"/>
      <c r="K249" s="68"/>
      <c r="L249" s="68"/>
      <c r="P249" s="68"/>
    </row>
    <row r="250" spans="5:16" x14ac:dyDescent="0.25">
      <c r="E250" s="68"/>
      <c r="F250" s="68"/>
      <c r="G250" s="68"/>
      <c r="H250" s="68"/>
      <c r="I250" s="68"/>
      <c r="J250" s="68"/>
      <c r="K250" s="68"/>
      <c r="L250" s="68"/>
      <c r="P250" s="68"/>
    </row>
    <row r="251" spans="5:16" x14ac:dyDescent="0.25">
      <c r="E251" s="68"/>
      <c r="F251" s="68"/>
      <c r="G251" s="68"/>
      <c r="H251" s="68"/>
      <c r="I251" s="68"/>
      <c r="J251" s="68"/>
      <c r="K251" s="68"/>
      <c r="L251" s="68"/>
      <c r="P251" s="68"/>
    </row>
    <row r="252" spans="5:16" x14ac:dyDescent="0.25">
      <c r="E252" s="68"/>
      <c r="F252" s="68"/>
      <c r="G252" s="68"/>
      <c r="H252" s="68"/>
      <c r="I252" s="68"/>
      <c r="J252" s="68"/>
      <c r="K252" s="68"/>
      <c r="L252" s="68"/>
      <c r="P252" s="68"/>
    </row>
    <row r="253" spans="5:16" x14ac:dyDescent="0.25">
      <c r="E253" s="68"/>
      <c r="F253" s="68"/>
      <c r="G253" s="68"/>
      <c r="H253" s="68"/>
      <c r="I253" s="68"/>
      <c r="J253" s="68"/>
      <c r="K253" s="68"/>
      <c r="L253" s="68"/>
      <c r="P253" s="68"/>
    </row>
    <row r="254" spans="5:16" x14ac:dyDescent="0.25">
      <c r="E254" s="68"/>
      <c r="F254" s="68"/>
      <c r="G254" s="68"/>
      <c r="H254" s="68"/>
      <c r="I254" s="68"/>
      <c r="J254" s="68"/>
      <c r="K254" s="68"/>
      <c r="L254" s="68"/>
      <c r="P254" s="68"/>
    </row>
    <row r="255" spans="5:16" x14ac:dyDescent="0.25">
      <c r="E255" s="68"/>
      <c r="F255" s="68"/>
      <c r="G255" s="68"/>
      <c r="H255" s="68"/>
      <c r="I255" s="68"/>
      <c r="J255" s="68"/>
      <c r="K255" s="68"/>
      <c r="L255" s="68"/>
      <c r="P255" s="68"/>
    </row>
    <row r="256" spans="5:16" x14ac:dyDescent="0.25">
      <c r="E256" s="68"/>
      <c r="F256" s="68"/>
      <c r="G256" s="68"/>
      <c r="H256" s="68"/>
      <c r="I256" s="68"/>
      <c r="J256" s="68"/>
      <c r="K256" s="68"/>
      <c r="L256" s="68"/>
      <c r="P256" s="68"/>
    </row>
    <row r="257" spans="5:16" x14ac:dyDescent="0.25">
      <c r="E257" s="68"/>
      <c r="F257" s="68"/>
      <c r="G257" s="68"/>
      <c r="H257" s="68"/>
      <c r="I257" s="68"/>
      <c r="J257" s="68"/>
      <c r="K257" s="68"/>
      <c r="L257" s="68"/>
      <c r="P257" s="68"/>
    </row>
    <row r="258" spans="5:16" x14ac:dyDescent="0.25">
      <c r="E258" s="68"/>
      <c r="F258" s="68"/>
      <c r="G258" s="68"/>
      <c r="H258" s="68"/>
      <c r="I258" s="68"/>
      <c r="J258" s="68"/>
      <c r="K258" s="68"/>
      <c r="L258" s="68"/>
      <c r="P258" s="68"/>
    </row>
    <row r="259" spans="5:16" x14ac:dyDescent="0.25">
      <c r="E259" s="68"/>
      <c r="F259" s="68"/>
      <c r="G259" s="68"/>
      <c r="H259" s="68"/>
      <c r="I259" s="68"/>
      <c r="J259" s="68"/>
      <c r="K259" s="68"/>
      <c r="L259" s="68"/>
      <c r="P259" s="68"/>
    </row>
    <row r="260" spans="5:16" x14ac:dyDescent="0.25">
      <c r="E260" s="68"/>
      <c r="F260" s="68"/>
      <c r="G260" s="68"/>
      <c r="H260" s="68"/>
      <c r="I260" s="68"/>
      <c r="J260" s="68"/>
      <c r="K260" s="68"/>
      <c r="L260" s="68"/>
      <c r="P260" s="68"/>
    </row>
    <row r="261" spans="5:16" x14ac:dyDescent="0.25">
      <c r="E261" s="68"/>
      <c r="F261" s="68"/>
      <c r="G261" s="68"/>
      <c r="H261" s="68"/>
      <c r="I261" s="68"/>
      <c r="J261" s="68"/>
      <c r="K261" s="68"/>
      <c r="L261" s="68"/>
      <c r="P261" s="68"/>
    </row>
    <row r="262" spans="5:16" x14ac:dyDescent="0.25">
      <c r="E262" s="68"/>
      <c r="F262" s="68"/>
      <c r="G262" s="68"/>
      <c r="H262" s="68"/>
      <c r="I262" s="68"/>
      <c r="J262" s="68"/>
      <c r="K262" s="68"/>
      <c r="L262" s="68"/>
      <c r="P262" s="68"/>
    </row>
    <row r="263" spans="5:16" x14ac:dyDescent="0.25">
      <c r="E263" s="68"/>
      <c r="F263" s="68"/>
      <c r="G263" s="68"/>
      <c r="H263" s="68"/>
      <c r="I263" s="68"/>
      <c r="J263" s="68"/>
      <c r="K263" s="68"/>
      <c r="L263" s="68"/>
      <c r="P263" s="68"/>
    </row>
    <row r="264" spans="5:16" x14ac:dyDescent="0.25">
      <c r="E264" s="68"/>
      <c r="F264" s="68"/>
      <c r="G264" s="68"/>
      <c r="H264" s="68"/>
      <c r="I264" s="68"/>
      <c r="J264" s="68"/>
      <c r="K264" s="68"/>
      <c r="L264" s="68"/>
      <c r="P264" s="68"/>
    </row>
    <row r="265" spans="5:16" x14ac:dyDescent="0.25">
      <c r="E265" s="68"/>
      <c r="F265" s="68"/>
      <c r="G265" s="68"/>
      <c r="H265" s="68"/>
      <c r="I265" s="68"/>
      <c r="J265" s="68"/>
      <c r="K265" s="68"/>
      <c r="L265" s="68"/>
      <c r="P265" s="68"/>
    </row>
    <row r="266" spans="5:16" x14ac:dyDescent="0.25">
      <c r="E266" s="68"/>
      <c r="F266" s="68"/>
      <c r="G266" s="68"/>
      <c r="H266" s="68"/>
      <c r="I266" s="68"/>
      <c r="J266" s="68"/>
      <c r="K266" s="68"/>
      <c r="L266" s="68"/>
      <c r="P266" s="68"/>
    </row>
    <row r="267" spans="5:16" x14ac:dyDescent="0.25">
      <c r="E267" s="68"/>
      <c r="F267" s="68"/>
      <c r="G267" s="68"/>
      <c r="H267" s="68"/>
      <c r="I267" s="68"/>
      <c r="J267" s="68"/>
      <c r="K267" s="68"/>
      <c r="L267" s="68"/>
      <c r="P267" s="68"/>
    </row>
    <row r="268" spans="5:16" x14ac:dyDescent="0.25">
      <c r="E268" s="68"/>
      <c r="F268" s="68"/>
      <c r="G268" s="68"/>
      <c r="H268" s="68"/>
      <c r="I268" s="68"/>
      <c r="J268" s="68"/>
      <c r="K268" s="68"/>
      <c r="L268" s="68"/>
      <c r="P268" s="68"/>
    </row>
    <row r="269" spans="5:16" x14ac:dyDescent="0.25">
      <c r="E269" s="68"/>
      <c r="F269" s="68"/>
      <c r="G269" s="68"/>
      <c r="H269" s="68"/>
      <c r="I269" s="68"/>
      <c r="J269" s="68"/>
      <c r="K269" s="68"/>
      <c r="L269" s="68"/>
      <c r="P269" s="68"/>
    </row>
    <row r="270" spans="5:16" x14ac:dyDescent="0.25">
      <c r="E270" s="68"/>
      <c r="F270" s="68"/>
      <c r="G270" s="68"/>
      <c r="H270" s="68"/>
      <c r="I270" s="68"/>
      <c r="J270" s="68"/>
      <c r="K270" s="68"/>
      <c r="L270" s="68"/>
      <c r="P270" s="68"/>
    </row>
    <row r="271" spans="5:16" x14ac:dyDescent="0.25">
      <c r="E271" s="68"/>
      <c r="F271" s="68"/>
      <c r="G271" s="68"/>
      <c r="H271" s="68"/>
      <c r="I271" s="68"/>
      <c r="J271" s="68"/>
      <c r="K271" s="68"/>
      <c r="L271" s="68"/>
      <c r="P271" s="68"/>
    </row>
    <row r="272" spans="5:16" x14ac:dyDescent="0.25">
      <c r="E272" s="68"/>
      <c r="F272" s="68"/>
      <c r="G272" s="68"/>
      <c r="H272" s="68"/>
      <c r="I272" s="68"/>
      <c r="J272" s="68"/>
      <c r="K272" s="68"/>
      <c r="L272" s="68"/>
      <c r="P272" s="68"/>
    </row>
    <row r="273" spans="5:16" x14ac:dyDescent="0.25">
      <c r="E273" s="68"/>
      <c r="F273" s="68"/>
      <c r="G273" s="68"/>
      <c r="H273" s="68"/>
      <c r="I273" s="68"/>
      <c r="J273" s="68"/>
      <c r="K273" s="68"/>
      <c r="L273" s="68"/>
      <c r="P273" s="68"/>
    </row>
    <row r="274" spans="5:16" x14ac:dyDescent="0.25">
      <c r="E274" s="68"/>
      <c r="F274" s="68"/>
      <c r="G274" s="68"/>
      <c r="H274" s="68"/>
      <c r="I274" s="68"/>
      <c r="J274" s="68"/>
      <c r="K274" s="68"/>
      <c r="L274" s="68"/>
      <c r="P274" s="68"/>
    </row>
    <row r="275" spans="5:16" x14ac:dyDescent="0.25">
      <c r="E275" s="68"/>
      <c r="F275" s="68"/>
      <c r="G275" s="68"/>
      <c r="H275" s="68"/>
      <c r="I275" s="68"/>
      <c r="J275" s="68"/>
      <c r="K275" s="68"/>
      <c r="L275" s="68"/>
      <c r="P275" s="68"/>
    </row>
    <row r="276" spans="5:16" x14ac:dyDescent="0.25">
      <c r="E276" s="68"/>
      <c r="F276" s="68"/>
      <c r="G276" s="68"/>
      <c r="H276" s="68"/>
      <c r="I276" s="68"/>
      <c r="J276" s="68"/>
      <c r="K276" s="68"/>
      <c r="L276" s="68"/>
      <c r="P276" s="68"/>
    </row>
    <row r="277" spans="5:16" x14ac:dyDescent="0.25">
      <c r="E277" s="68"/>
      <c r="F277" s="68"/>
      <c r="G277" s="68"/>
      <c r="H277" s="68"/>
      <c r="I277" s="68"/>
      <c r="J277" s="68"/>
      <c r="K277" s="68"/>
      <c r="L277" s="68"/>
      <c r="P277" s="68"/>
    </row>
    <row r="278" spans="5:16" x14ac:dyDescent="0.25">
      <c r="E278" s="68"/>
      <c r="F278" s="68"/>
      <c r="G278" s="68"/>
      <c r="H278" s="68"/>
      <c r="I278" s="68"/>
      <c r="J278" s="68"/>
      <c r="K278" s="68"/>
      <c r="L278" s="68"/>
      <c r="P278" s="68"/>
    </row>
    <row r="279" spans="5:16" x14ac:dyDescent="0.25">
      <c r="E279" s="68"/>
      <c r="F279" s="68"/>
      <c r="G279" s="68"/>
      <c r="H279" s="68"/>
      <c r="I279" s="68"/>
      <c r="J279" s="68"/>
      <c r="K279" s="68"/>
      <c r="L279" s="68"/>
      <c r="P279" s="68"/>
    </row>
    <row r="280" spans="5:16" x14ac:dyDescent="0.25">
      <c r="E280" s="68"/>
      <c r="F280" s="68"/>
      <c r="G280" s="68"/>
      <c r="H280" s="68"/>
      <c r="I280" s="68"/>
      <c r="J280" s="68"/>
      <c r="K280" s="68"/>
      <c r="L280" s="68"/>
      <c r="P280" s="68"/>
    </row>
    <row r="281" spans="5:16" x14ac:dyDescent="0.25">
      <c r="E281" s="68"/>
      <c r="F281" s="68"/>
      <c r="G281" s="68"/>
      <c r="H281" s="68"/>
      <c r="I281" s="68"/>
      <c r="J281" s="68"/>
      <c r="K281" s="68"/>
      <c r="L281" s="68"/>
      <c r="P281" s="68"/>
    </row>
    <row r="282" spans="5:16" x14ac:dyDescent="0.25">
      <c r="E282" s="68"/>
      <c r="F282" s="68"/>
      <c r="G282" s="68"/>
      <c r="H282" s="68"/>
      <c r="I282" s="68"/>
      <c r="J282" s="68"/>
      <c r="K282" s="68"/>
      <c r="L282" s="68"/>
      <c r="P282" s="68"/>
    </row>
    <row r="283" spans="5:16" x14ac:dyDescent="0.25">
      <c r="E283" s="68"/>
      <c r="F283" s="68"/>
      <c r="G283" s="68"/>
      <c r="H283" s="68"/>
      <c r="I283" s="68"/>
      <c r="J283" s="68"/>
      <c r="K283" s="68"/>
      <c r="L283" s="68"/>
      <c r="P283" s="68"/>
    </row>
    <row r="284" spans="5:16" x14ac:dyDescent="0.25">
      <c r="E284" s="68"/>
      <c r="F284" s="68"/>
      <c r="G284" s="68"/>
      <c r="H284" s="68"/>
      <c r="I284" s="68"/>
      <c r="J284" s="68"/>
      <c r="K284" s="68"/>
      <c r="L284" s="68"/>
      <c r="P284" s="68"/>
    </row>
    <row r="285" spans="5:16" x14ac:dyDescent="0.25">
      <c r="E285" s="68"/>
      <c r="F285" s="68"/>
      <c r="G285" s="68"/>
      <c r="H285" s="68"/>
      <c r="I285" s="68"/>
      <c r="J285" s="68"/>
      <c r="K285" s="68"/>
      <c r="L285" s="68"/>
      <c r="P285" s="68"/>
    </row>
    <row r="286" spans="5:16" x14ac:dyDescent="0.25">
      <c r="E286" s="68"/>
      <c r="F286" s="68"/>
      <c r="G286" s="68"/>
      <c r="H286" s="68"/>
      <c r="I286" s="68"/>
      <c r="J286" s="68"/>
      <c r="K286" s="68"/>
      <c r="L286" s="68"/>
      <c r="P286" s="68"/>
    </row>
    <row r="287" spans="5:16" x14ac:dyDescent="0.25">
      <c r="E287" s="68"/>
      <c r="F287" s="68"/>
      <c r="G287" s="68"/>
      <c r="H287" s="68"/>
      <c r="I287" s="68"/>
      <c r="J287" s="68"/>
      <c r="K287" s="68"/>
      <c r="L287" s="68"/>
      <c r="P287" s="68"/>
    </row>
    <row r="288" spans="5:16" x14ac:dyDescent="0.25">
      <c r="E288" s="68"/>
      <c r="F288" s="68"/>
      <c r="G288" s="68"/>
      <c r="H288" s="68"/>
      <c r="I288" s="68"/>
      <c r="J288" s="68"/>
      <c r="K288" s="68"/>
      <c r="L288" s="68"/>
      <c r="P288" s="68"/>
    </row>
    <row r="289" spans="5:16" x14ac:dyDescent="0.25">
      <c r="E289" s="68"/>
      <c r="F289" s="68"/>
      <c r="G289" s="68"/>
      <c r="H289" s="68"/>
      <c r="I289" s="68"/>
      <c r="J289" s="68"/>
      <c r="K289" s="68"/>
      <c r="L289" s="68"/>
      <c r="P289" s="68"/>
    </row>
    <row r="290" spans="5:16" x14ac:dyDescent="0.25">
      <c r="E290" s="68"/>
      <c r="F290" s="68"/>
      <c r="G290" s="68"/>
      <c r="H290" s="68"/>
      <c r="I290" s="68"/>
      <c r="J290" s="68"/>
      <c r="K290" s="68"/>
      <c r="L290" s="68"/>
      <c r="P290" s="68"/>
    </row>
    <row r="291" spans="5:16" x14ac:dyDescent="0.25">
      <c r="E291" s="68"/>
      <c r="F291" s="68"/>
      <c r="G291" s="68"/>
      <c r="H291" s="68"/>
      <c r="I291" s="68"/>
      <c r="J291" s="68"/>
      <c r="K291" s="68"/>
      <c r="L291" s="68"/>
      <c r="P291" s="68"/>
    </row>
    <row r="292" spans="5:16" x14ac:dyDescent="0.25">
      <c r="E292" s="68"/>
      <c r="F292" s="68"/>
      <c r="G292" s="68"/>
      <c r="H292" s="68"/>
      <c r="I292" s="68"/>
      <c r="J292" s="68"/>
      <c r="K292" s="68"/>
      <c r="L292" s="68"/>
      <c r="P292" s="68"/>
    </row>
    <row r="293" spans="5:16" x14ac:dyDescent="0.25">
      <c r="E293" s="68"/>
      <c r="F293" s="68"/>
      <c r="G293" s="68"/>
      <c r="H293" s="68"/>
      <c r="I293" s="68"/>
      <c r="J293" s="68"/>
      <c r="K293" s="68"/>
      <c r="L293" s="68"/>
      <c r="P293" s="68"/>
    </row>
    <row r="294" spans="5:16" x14ac:dyDescent="0.25">
      <c r="E294" s="68"/>
      <c r="F294" s="68"/>
      <c r="G294" s="68"/>
      <c r="H294" s="68"/>
      <c r="I294" s="68"/>
      <c r="J294" s="68"/>
      <c r="K294" s="68"/>
      <c r="L294" s="68"/>
      <c r="P294" s="68"/>
    </row>
    <row r="295" spans="5:16" x14ac:dyDescent="0.25">
      <c r="E295" s="68"/>
      <c r="F295" s="68"/>
      <c r="G295" s="68"/>
      <c r="H295" s="68"/>
      <c r="I295" s="68"/>
      <c r="J295" s="68"/>
      <c r="K295" s="68"/>
      <c r="L295" s="68"/>
      <c r="P295" s="68"/>
    </row>
    <row r="296" spans="5:16" x14ac:dyDescent="0.25">
      <c r="E296" s="68"/>
      <c r="F296" s="68"/>
      <c r="G296" s="68"/>
      <c r="H296" s="68"/>
      <c r="I296" s="68"/>
      <c r="J296" s="68"/>
      <c r="K296" s="68"/>
      <c r="L296" s="68"/>
      <c r="P296" s="68"/>
    </row>
    <row r="297" spans="5:16" x14ac:dyDescent="0.25">
      <c r="E297" s="68"/>
      <c r="F297" s="68"/>
      <c r="G297" s="68"/>
      <c r="H297" s="68"/>
      <c r="I297" s="68"/>
      <c r="J297" s="68"/>
      <c r="K297" s="68"/>
      <c r="L297" s="68"/>
      <c r="P297" s="68"/>
    </row>
    <row r="298" spans="5:16" x14ac:dyDescent="0.25">
      <c r="E298" s="68"/>
      <c r="F298" s="68"/>
      <c r="G298" s="68"/>
      <c r="H298" s="68"/>
      <c r="I298" s="68"/>
      <c r="J298" s="68"/>
      <c r="K298" s="68"/>
      <c r="L298" s="68"/>
      <c r="P298" s="68"/>
    </row>
    <row r="299" spans="5:16" x14ac:dyDescent="0.25">
      <c r="E299" s="68"/>
      <c r="F299" s="68"/>
      <c r="G299" s="68"/>
      <c r="H299" s="68"/>
      <c r="I299" s="68"/>
      <c r="J299" s="68"/>
      <c r="K299" s="68"/>
      <c r="L299" s="68"/>
      <c r="P299" s="68"/>
    </row>
    <row r="300" spans="5:16" x14ac:dyDescent="0.25">
      <c r="E300" s="68"/>
      <c r="F300" s="68"/>
      <c r="G300" s="68"/>
      <c r="H300" s="68"/>
      <c r="I300" s="68"/>
      <c r="J300" s="68"/>
      <c r="K300" s="68"/>
      <c r="L300" s="68"/>
      <c r="P300" s="68"/>
    </row>
    <row r="301" spans="5:16" x14ac:dyDescent="0.25">
      <c r="E301" s="68"/>
      <c r="F301" s="68"/>
      <c r="G301" s="68"/>
      <c r="H301" s="68"/>
      <c r="I301" s="68"/>
      <c r="J301" s="68"/>
      <c r="K301" s="68"/>
      <c r="L301" s="68"/>
      <c r="P301" s="68"/>
    </row>
    <row r="302" spans="5:16" x14ac:dyDescent="0.25">
      <c r="E302" s="68"/>
      <c r="F302" s="68"/>
      <c r="G302" s="68"/>
      <c r="H302" s="68"/>
      <c r="I302" s="68"/>
      <c r="J302" s="68"/>
      <c r="K302" s="68"/>
      <c r="L302" s="68"/>
      <c r="P302" s="68"/>
    </row>
    <row r="303" spans="5:16" x14ac:dyDescent="0.25">
      <c r="E303" s="68"/>
      <c r="F303" s="68"/>
      <c r="G303" s="68"/>
      <c r="H303" s="68"/>
      <c r="I303" s="68"/>
      <c r="J303" s="68"/>
      <c r="K303" s="68"/>
      <c r="L303" s="68"/>
      <c r="P303" s="68"/>
    </row>
    <row r="304" spans="5:16" x14ac:dyDescent="0.25">
      <c r="E304" s="68"/>
      <c r="F304" s="68"/>
      <c r="G304" s="68"/>
      <c r="H304" s="68"/>
      <c r="I304" s="68"/>
      <c r="J304" s="68"/>
      <c r="K304" s="68"/>
      <c r="L304" s="68"/>
      <c r="P304" s="68"/>
    </row>
    <row r="305" spans="5:16" x14ac:dyDescent="0.25">
      <c r="E305" s="68"/>
      <c r="F305" s="68"/>
      <c r="G305" s="68"/>
      <c r="H305" s="68"/>
      <c r="I305" s="68"/>
      <c r="J305" s="68"/>
      <c r="K305" s="68"/>
      <c r="L305" s="68"/>
      <c r="P305" s="68"/>
    </row>
    <row r="306" spans="5:16" x14ac:dyDescent="0.25">
      <c r="E306" s="68"/>
      <c r="F306" s="68"/>
      <c r="G306" s="68"/>
      <c r="H306" s="68"/>
      <c r="I306" s="68"/>
      <c r="J306" s="68"/>
      <c r="K306" s="68"/>
      <c r="L306" s="68"/>
      <c r="P306" s="68"/>
    </row>
    <row r="307" spans="5:16" x14ac:dyDescent="0.25">
      <c r="E307" s="68"/>
      <c r="F307" s="68"/>
      <c r="G307" s="68"/>
      <c r="H307" s="68"/>
      <c r="I307" s="68"/>
      <c r="J307" s="68"/>
      <c r="K307" s="68"/>
      <c r="L307" s="68"/>
      <c r="P307" s="68"/>
    </row>
    <row r="308" spans="5:16" x14ac:dyDescent="0.25">
      <c r="E308" s="68"/>
      <c r="F308" s="68"/>
      <c r="G308" s="68"/>
      <c r="H308" s="68"/>
      <c r="I308" s="68"/>
      <c r="J308" s="68"/>
      <c r="K308" s="68"/>
      <c r="L308" s="68"/>
      <c r="P308" s="68"/>
    </row>
    <row r="309" spans="5:16" x14ac:dyDescent="0.25">
      <c r="E309" s="68"/>
      <c r="F309" s="68"/>
      <c r="G309" s="68"/>
      <c r="H309" s="68"/>
      <c r="I309" s="68"/>
      <c r="J309" s="68"/>
      <c r="K309" s="68"/>
      <c r="L309" s="68"/>
      <c r="P309" s="68"/>
    </row>
    <row r="310" spans="5:16" x14ac:dyDescent="0.25">
      <c r="E310" s="68"/>
      <c r="F310" s="68"/>
      <c r="G310" s="68"/>
      <c r="H310" s="68"/>
      <c r="I310" s="68"/>
      <c r="J310" s="68"/>
      <c r="K310" s="68"/>
      <c r="L310" s="68"/>
      <c r="P310" s="68"/>
    </row>
    <row r="311" spans="5:16" x14ac:dyDescent="0.25">
      <c r="E311" s="68"/>
      <c r="F311" s="68"/>
      <c r="G311" s="68"/>
      <c r="H311" s="68"/>
      <c r="I311" s="68"/>
      <c r="J311" s="68"/>
      <c r="K311" s="68"/>
      <c r="L311" s="68"/>
      <c r="P311" s="68"/>
    </row>
    <row r="312" spans="5:16" x14ac:dyDescent="0.25">
      <c r="E312" s="68"/>
      <c r="F312" s="68"/>
      <c r="G312" s="68"/>
      <c r="H312" s="68"/>
      <c r="I312" s="68"/>
      <c r="J312" s="68"/>
      <c r="K312" s="68"/>
      <c r="L312" s="68"/>
      <c r="P312" s="68"/>
    </row>
    <row r="313" spans="5:16" x14ac:dyDescent="0.25">
      <c r="E313" s="68"/>
      <c r="F313" s="68"/>
      <c r="G313" s="68"/>
      <c r="H313" s="68"/>
      <c r="I313" s="68"/>
      <c r="J313" s="68"/>
      <c r="K313" s="68"/>
      <c r="L313" s="68"/>
      <c r="P313" s="68"/>
    </row>
    <row r="314" spans="5:16" x14ac:dyDescent="0.25">
      <c r="E314" s="68"/>
      <c r="F314" s="68"/>
      <c r="G314" s="68"/>
      <c r="H314" s="68"/>
      <c r="I314" s="68"/>
      <c r="J314" s="68"/>
      <c r="K314" s="68"/>
      <c r="L314" s="68"/>
      <c r="P314" s="68"/>
    </row>
    <row r="315" spans="5:16" x14ac:dyDescent="0.25">
      <c r="E315" s="68"/>
      <c r="F315" s="68"/>
      <c r="G315" s="68"/>
      <c r="H315" s="68"/>
      <c r="I315" s="68"/>
      <c r="J315" s="68"/>
      <c r="K315" s="68"/>
      <c r="L315" s="68"/>
      <c r="P315" s="68"/>
    </row>
    <row r="316" spans="5:16" x14ac:dyDescent="0.25">
      <c r="E316" s="68"/>
      <c r="F316" s="68"/>
      <c r="G316" s="68"/>
      <c r="H316" s="68"/>
      <c r="I316" s="68"/>
      <c r="J316" s="68"/>
      <c r="K316" s="68"/>
      <c r="L316" s="68"/>
      <c r="P316" s="68"/>
    </row>
    <row r="317" spans="5:16" x14ac:dyDescent="0.25">
      <c r="E317" s="68"/>
      <c r="F317" s="68"/>
      <c r="G317" s="68"/>
      <c r="H317" s="68"/>
      <c r="I317" s="68"/>
      <c r="J317" s="68"/>
      <c r="K317" s="68"/>
      <c r="L317" s="68"/>
      <c r="P317" s="68"/>
    </row>
    <row r="318" spans="5:16" x14ac:dyDescent="0.25">
      <c r="E318" s="68"/>
      <c r="F318" s="68"/>
      <c r="G318" s="68"/>
      <c r="H318" s="68"/>
      <c r="I318" s="68"/>
      <c r="J318" s="68"/>
      <c r="K318" s="68"/>
      <c r="L318" s="68"/>
      <c r="P318" s="68"/>
    </row>
    <row r="319" spans="5:16" x14ac:dyDescent="0.25">
      <c r="E319" s="68"/>
      <c r="F319" s="68"/>
      <c r="G319" s="68"/>
      <c r="H319" s="68"/>
      <c r="I319" s="68"/>
      <c r="J319" s="68"/>
      <c r="K319" s="68"/>
      <c r="L319" s="68"/>
      <c r="P319" s="68"/>
    </row>
    <row r="320" spans="5:16" x14ac:dyDescent="0.25">
      <c r="E320" s="68"/>
      <c r="F320" s="68"/>
      <c r="G320" s="68"/>
      <c r="H320" s="68"/>
      <c r="I320" s="68"/>
      <c r="J320" s="68"/>
      <c r="K320" s="68"/>
      <c r="L320" s="68"/>
      <c r="P320" s="68"/>
    </row>
    <row r="321" spans="5:16" x14ac:dyDescent="0.25">
      <c r="E321" s="68"/>
      <c r="F321" s="68"/>
      <c r="G321" s="68"/>
      <c r="H321" s="68"/>
      <c r="I321" s="68"/>
      <c r="J321" s="68"/>
      <c r="K321" s="68"/>
      <c r="L321" s="68"/>
      <c r="P321" s="68"/>
    </row>
    <row r="322" spans="5:16" x14ac:dyDescent="0.25">
      <c r="E322" s="68"/>
      <c r="F322" s="68"/>
      <c r="G322" s="68"/>
      <c r="H322" s="68"/>
      <c r="I322" s="68"/>
      <c r="J322" s="68"/>
      <c r="K322" s="68"/>
      <c r="L322" s="68"/>
      <c r="P322" s="68"/>
    </row>
    <row r="323" spans="5:16" x14ac:dyDescent="0.25">
      <c r="E323" s="68"/>
      <c r="F323" s="68"/>
      <c r="G323" s="68"/>
      <c r="H323" s="68"/>
      <c r="I323" s="68"/>
      <c r="J323" s="68"/>
      <c r="K323" s="68"/>
      <c r="L323" s="68"/>
      <c r="P323" s="68"/>
    </row>
    <row r="324" spans="5:16" x14ac:dyDescent="0.25">
      <c r="E324" s="68"/>
      <c r="F324" s="68"/>
      <c r="G324" s="68"/>
      <c r="H324" s="68"/>
      <c r="I324" s="68"/>
      <c r="J324" s="68"/>
      <c r="K324" s="68"/>
      <c r="L324" s="68"/>
      <c r="P324" s="68"/>
    </row>
    <row r="325" spans="5:16" x14ac:dyDescent="0.25">
      <c r="E325" s="68"/>
      <c r="F325" s="68"/>
      <c r="G325" s="68"/>
      <c r="H325" s="68"/>
      <c r="I325" s="68"/>
      <c r="J325" s="68"/>
      <c r="K325" s="68"/>
      <c r="L325" s="68"/>
      <c r="P325" s="68"/>
    </row>
    <row r="326" spans="5:16" x14ac:dyDescent="0.25">
      <c r="E326" s="68"/>
      <c r="F326" s="68"/>
      <c r="G326" s="68"/>
      <c r="H326" s="68"/>
      <c r="I326" s="68"/>
      <c r="J326" s="68"/>
      <c r="K326" s="68"/>
      <c r="L326" s="68"/>
      <c r="P326" s="68"/>
    </row>
    <row r="327" spans="5:16" x14ac:dyDescent="0.25">
      <c r="E327" s="68"/>
      <c r="F327" s="68"/>
      <c r="G327" s="68"/>
      <c r="H327" s="68"/>
      <c r="I327" s="68"/>
      <c r="J327" s="68"/>
      <c r="K327" s="68"/>
      <c r="L327" s="68"/>
      <c r="P327" s="68"/>
    </row>
    <row r="328" spans="5:16" x14ac:dyDescent="0.25">
      <c r="E328" s="68"/>
      <c r="F328" s="68"/>
      <c r="G328" s="68"/>
      <c r="H328" s="68"/>
      <c r="I328" s="68"/>
      <c r="J328" s="68"/>
      <c r="K328" s="68"/>
      <c r="L328" s="68"/>
      <c r="P328" s="68"/>
    </row>
    <row r="329" spans="5:16" x14ac:dyDescent="0.25">
      <c r="E329" s="68"/>
      <c r="F329" s="68"/>
      <c r="G329" s="68"/>
      <c r="H329" s="68"/>
      <c r="I329" s="68"/>
      <c r="J329" s="68"/>
      <c r="K329" s="68"/>
      <c r="L329" s="68"/>
      <c r="P329" s="68"/>
    </row>
    <row r="330" spans="5:16" x14ac:dyDescent="0.25">
      <c r="E330" s="68"/>
      <c r="F330" s="68"/>
      <c r="G330" s="68"/>
      <c r="H330" s="68"/>
      <c r="I330" s="68"/>
      <c r="J330" s="68"/>
      <c r="K330" s="68"/>
      <c r="L330" s="68"/>
      <c r="P330" s="68"/>
    </row>
    <row r="331" spans="5:16" x14ac:dyDescent="0.25">
      <c r="E331" s="68"/>
      <c r="F331" s="68"/>
      <c r="G331" s="68"/>
      <c r="H331" s="68"/>
      <c r="I331" s="68"/>
      <c r="J331" s="68"/>
      <c r="K331" s="68"/>
      <c r="L331" s="68"/>
      <c r="P331" s="68"/>
    </row>
    <row r="332" spans="5:16" x14ac:dyDescent="0.25">
      <c r="E332" s="68"/>
      <c r="F332" s="68"/>
      <c r="G332" s="68"/>
      <c r="H332" s="68"/>
      <c r="I332" s="68"/>
      <c r="J332" s="68"/>
      <c r="K332" s="68"/>
      <c r="L332" s="68"/>
      <c r="P332" s="68"/>
    </row>
    <row r="333" spans="5:16" x14ac:dyDescent="0.25">
      <c r="E333" s="68"/>
      <c r="F333" s="68"/>
      <c r="G333" s="68"/>
      <c r="H333" s="68"/>
      <c r="I333" s="68"/>
      <c r="J333" s="68"/>
      <c r="K333" s="68"/>
      <c r="L333" s="68"/>
      <c r="P333" s="68"/>
    </row>
    <row r="334" spans="5:16" x14ac:dyDescent="0.25">
      <c r="E334" s="68"/>
      <c r="F334" s="68"/>
      <c r="G334" s="68"/>
      <c r="H334" s="68"/>
      <c r="I334" s="68"/>
      <c r="J334" s="68"/>
      <c r="K334" s="68"/>
      <c r="L334" s="68"/>
      <c r="P334" s="68"/>
    </row>
    <row r="335" spans="5:16" x14ac:dyDescent="0.25">
      <c r="E335" s="68"/>
      <c r="F335" s="68"/>
      <c r="G335" s="68"/>
      <c r="H335" s="68"/>
      <c r="I335" s="68"/>
      <c r="J335" s="68"/>
      <c r="K335" s="68"/>
      <c r="L335" s="68"/>
      <c r="P335" s="68"/>
    </row>
    <row r="336" spans="5:16" x14ac:dyDescent="0.25">
      <c r="E336" s="68"/>
      <c r="F336" s="68"/>
      <c r="G336" s="68"/>
      <c r="H336" s="68"/>
      <c r="I336" s="68"/>
      <c r="J336" s="68"/>
      <c r="K336" s="68"/>
      <c r="L336" s="68"/>
      <c r="P336" s="68"/>
    </row>
    <row r="337" spans="5:16" x14ac:dyDescent="0.25">
      <c r="E337" s="68"/>
      <c r="F337" s="68"/>
      <c r="G337" s="68"/>
      <c r="H337" s="68"/>
      <c r="I337" s="68"/>
      <c r="J337" s="68"/>
      <c r="K337" s="68"/>
      <c r="L337" s="68"/>
      <c r="P337" s="68"/>
    </row>
    <row r="338" spans="5:16" x14ac:dyDescent="0.25">
      <c r="E338" s="68"/>
      <c r="F338" s="68"/>
      <c r="G338" s="68"/>
      <c r="H338" s="68"/>
      <c r="I338" s="68"/>
      <c r="J338" s="68"/>
      <c r="K338" s="68"/>
      <c r="L338" s="68"/>
      <c r="P338" s="68"/>
    </row>
    <row r="339" spans="5:16" x14ac:dyDescent="0.25">
      <c r="E339" s="68"/>
      <c r="F339" s="68"/>
      <c r="G339" s="68"/>
      <c r="H339" s="68"/>
      <c r="I339" s="68"/>
      <c r="J339" s="68"/>
      <c r="K339" s="68"/>
      <c r="L339" s="68"/>
      <c r="P339" s="68"/>
    </row>
    <row r="340" spans="5:16" x14ac:dyDescent="0.25">
      <c r="E340" s="68"/>
      <c r="F340" s="68"/>
      <c r="G340" s="68"/>
      <c r="H340" s="68"/>
      <c r="I340" s="68"/>
      <c r="J340" s="68"/>
      <c r="K340" s="68"/>
      <c r="L340" s="68"/>
      <c r="P340" s="68"/>
    </row>
    <row r="341" spans="5:16" x14ac:dyDescent="0.25">
      <c r="E341" s="68"/>
      <c r="F341" s="68"/>
      <c r="G341" s="68"/>
      <c r="H341" s="68"/>
      <c r="I341" s="68"/>
      <c r="J341" s="68"/>
      <c r="K341" s="68"/>
      <c r="L341" s="68"/>
      <c r="P341" s="68"/>
    </row>
    <row r="342" spans="5:16" x14ac:dyDescent="0.25">
      <c r="E342" s="68"/>
      <c r="F342" s="68"/>
      <c r="G342" s="68"/>
      <c r="H342" s="68"/>
      <c r="I342" s="68"/>
      <c r="J342" s="68"/>
      <c r="K342" s="68"/>
      <c r="L342" s="68"/>
      <c r="P342" s="68"/>
    </row>
    <row r="343" spans="5:16" x14ac:dyDescent="0.25">
      <c r="E343" s="68"/>
      <c r="F343" s="68"/>
      <c r="G343" s="68"/>
      <c r="H343" s="68"/>
      <c r="I343" s="68"/>
      <c r="J343" s="68"/>
      <c r="K343" s="68"/>
      <c r="L343" s="68"/>
      <c r="P343" s="68"/>
    </row>
    <row r="344" spans="5:16" x14ac:dyDescent="0.25">
      <c r="E344" s="68"/>
      <c r="F344" s="68"/>
      <c r="G344" s="68"/>
      <c r="H344" s="68"/>
      <c r="I344" s="68"/>
      <c r="J344" s="68"/>
      <c r="K344" s="68"/>
      <c r="L344" s="68"/>
      <c r="P344" s="68"/>
    </row>
    <row r="345" spans="5:16" x14ac:dyDescent="0.25">
      <c r="E345" s="68"/>
      <c r="F345" s="68"/>
      <c r="G345" s="68"/>
      <c r="H345" s="68"/>
      <c r="I345" s="68"/>
      <c r="J345" s="68"/>
      <c r="K345" s="68"/>
      <c r="L345" s="68"/>
      <c r="P345" s="68"/>
    </row>
    <row r="346" spans="5:16" x14ac:dyDescent="0.25">
      <c r="E346" s="68"/>
      <c r="F346" s="68"/>
      <c r="G346" s="68"/>
      <c r="H346" s="68"/>
      <c r="I346" s="68"/>
      <c r="J346" s="68"/>
      <c r="K346" s="68"/>
      <c r="L346" s="68"/>
      <c r="P346" s="68"/>
    </row>
    <row r="347" spans="5:16" x14ac:dyDescent="0.25">
      <c r="E347" s="68"/>
      <c r="F347" s="68"/>
      <c r="G347" s="68"/>
      <c r="H347" s="68"/>
      <c r="I347" s="68"/>
      <c r="J347" s="68"/>
      <c r="K347" s="68"/>
      <c r="L347" s="68"/>
      <c r="P347" s="68"/>
    </row>
    <row r="348" spans="5:16" x14ac:dyDescent="0.25">
      <c r="E348" s="68"/>
      <c r="F348" s="68"/>
      <c r="G348" s="68"/>
      <c r="H348" s="68"/>
      <c r="I348" s="68"/>
      <c r="J348" s="68"/>
      <c r="K348" s="68"/>
      <c r="L348" s="68"/>
      <c r="P348" s="68"/>
    </row>
    <row r="349" spans="5:16" x14ac:dyDescent="0.25">
      <c r="E349" s="68"/>
      <c r="F349" s="68"/>
      <c r="G349" s="68"/>
      <c r="H349" s="68"/>
      <c r="I349" s="68"/>
      <c r="J349" s="68"/>
      <c r="K349" s="68"/>
      <c r="L349" s="68"/>
      <c r="P349" s="68"/>
    </row>
    <row r="350" spans="5:16" x14ac:dyDescent="0.25">
      <c r="E350" s="68"/>
      <c r="F350" s="68"/>
      <c r="G350" s="68"/>
      <c r="H350" s="68"/>
      <c r="I350" s="68"/>
      <c r="J350" s="68"/>
      <c r="K350" s="68"/>
      <c r="L350" s="68"/>
      <c r="P350" s="68"/>
    </row>
    <row r="351" spans="5:16" x14ac:dyDescent="0.25">
      <c r="E351" s="68"/>
      <c r="F351" s="68"/>
      <c r="G351" s="68"/>
      <c r="H351" s="68"/>
      <c r="I351" s="68"/>
      <c r="J351" s="68"/>
      <c r="K351" s="68"/>
      <c r="L351" s="68"/>
      <c r="P351" s="68"/>
    </row>
    <row r="352" spans="5:16" x14ac:dyDescent="0.25">
      <c r="E352" s="68"/>
      <c r="F352" s="68"/>
      <c r="G352" s="68"/>
      <c r="H352" s="68"/>
      <c r="I352" s="68"/>
      <c r="J352" s="68"/>
      <c r="K352" s="68"/>
      <c r="L352" s="68"/>
      <c r="P352" s="68"/>
    </row>
    <row r="353" spans="5:16" x14ac:dyDescent="0.25">
      <c r="E353" s="68"/>
      <c r="F353" s="68"/>
      <c r="G353" s="68"/>
      <c r="H353" s="68"/>
      <c r="I353" s="68"/>
      <c r="J353" s="68"/>
      <c r="K353" s="68"/>
      <c r="L353" s="68"/>
      <c r="P353" s="68"/>
    </row>
    <row r="354" spans="5:16" x14ac:dyDescent="0.25">
      <c r="E354" s="68"/>
      <c r="F354" s="68"/>
      <c r="G354" s="68"/>
      <c r="H354" s="68"/>
      <c r="I354" s="68"/>
      <c r="J354" s="68"/>
      <c r="K354" s="68"/>
      <c r="L354" s="68"/>
      <c r="P354" s="68"/>
    </row>
    <row r="355" spans="5:16" x14ac:dyDescent="0.25">
      <c r="E355" s="68"/>
      <c r="F355" s="68"/>
      <c r="G355" s="68"/>
      <c r="H355" s="68"/>
      <c r="I355" s="68"/>
      <c r="J355" s="68"/>
      <c r="K355" s="68"/>
      <c r="L355" s="68"/>
      <c r="P355" s="68"/>
    </row>
    <row r="356" spans="5:16" x14ac:dyDescent="0.25">
      <c r="E356" s="68"/>
      <c r="F356" s="68"/>
      <c r="G356" s="68"/>
      <c r="H356" s="68"/>
      <c r="I356" s="68"/>
      <c r="J356" s="68"/>
      <c r="K356" s="68"/>
      <c r="L356" s="68"/>
      <c r="P356" s="68"/>
    </row>
    <row r="357" spans="5:16" x14ac:dyDescent="0.25">
      <c r="E357" s="68"/>
      <c r="F357" s="68"/>
      <c r="G357" s="68"/>
      <c r="H357" s="68"/>
      <c r="I357" s="68"/>
      <c r="J357" s="68"/>
      <c r="K357" s="68"/>
      <c r="L357" s="68"/>
      <c r="P357" s="68"/>
    </row>
    <row r="358" spans="5:16" x14ac:dyDescent="0.25">
      <c r="E358" s="68"/>
      <c r="F358" s="68"/>
      <c r="G358" s="68"/>
      <c r="H358" s="68"/>
      <c r="I358" s="68"/>
      <c r="J358" s="68"/>
      <c r="K358" s="68"/>
      <c r="L358" s="68"/>
      <c r="P358" s="68"/>
    </row>
    <row r="359" spans="5:16" x14ac:dyDescent="0.25">
      <c r="E359" s="68"/>
      <c r="F359" s="68"/>
      <c r="G359" s="68"/>
      <c r="H359" s="68"/>
      <c r="I359" s="68"/>
      <c r="J359" s="68"/>
      <c r="K359" s="68"/>
      <c r="L359" s="68"/>
      <c r="P359" s="68"/>
    </row>
    <row r="360" spans="5:16" x14ac:dyDescent="0.25">
      <c r="E360" s="68"/>
      <c r="F360" s="68"/>
      <c r="G360" s="68"/>
      <c r="H360" s="68"/>
      <c r="I360" s="68"/>
      <c r="J360" s="68"/>
      <c r="K360" s="68"/>
      <c r="L360" s="68"/>
      <c r="P360" s="68"/>
    </row>
    <row r="361" spans="5:16" x14ac:dyDescent="0.25">
      <c r="E361" s="68"/>
      <c r="F361" s="68"/>
      <c r="G361" s="68"/>
      <c r="H361" s="68"/>
      <c r="I361" s="68"/>
      <c r="J361" s="68"/>
      <c r="K361" s="68"/>
      <c r="L361" s="68"/>
      <c r="P361" s="68"/>
    </row>
    <row r="362" spans="5:16" x14ac:dyDescent="0.25">
      <c r="E362" s="68"/>
      <c r="F362" s="68"/>
      <c r="G362" s="68"/>
      <c r="H362" s="68"/>
      <c r="I362" s="68"/>
      <c r="J362" s="68"/>
      <c r="K362" s="68"/>
      <c r="L362" s="68"/>
      <c r="P362" s="68"/>
    </row>
    <row r="363" spans="5:16" x14ac:dyDescent="0.25">
      <c r="E363" s="68"/>
      <c r="F363" s="68"/>
      <c r="G363" s="68"/>
      <c r="H363" s="68"/>
      <c r="I363" s="68"/>
      <c r="J363" s="68"/>
      <c r="K363" s="68"/>
      <c r="L363" s="68"/>
      <c r="P363" s="68"/>
    </row>
    <row r="364" spans="5:16" x14ac:dyDescent="0.25">
      <c r="E364" s="68"/>
      <c r="F364" s="68"/>
      <c r="G364" s="68"/>
      <c r="H364" s="68"/>
      <c r="I364" s="68"/>
      <c r="J364" s="68"/>
      <c r="K364" s="68"/>
      <c r="L364" s="68"/>
      <c r="P364" s="68"/>
    </row>
    <row r="365" spans="5:16" x14ac:dyDescent="0.25">
      <c r="E365" s="68"/>
      <c r="F365" s="68"/>
      <c r="G365" s="68"/>
      <c r="H365" s="68"/>
      <c r="I365" s="68"/>
      <c r="J365" s="68"/>
      <c r="K365" s="68"/>
      <c r="L365" s="68"/>
      <c r="P365" s="68"/>
    </row>
    <row r="366" spans="5:16" x14ac:dyDescent="0.25">
      <c r="E366" s="68"/>
      <c r="F366" s="68"/>
      <c r="G366" s="68"/>
      <c r="H366" s="68"/>
      <c r="I366" s="68"/>
      <c r="J366" s="68"/>
      <c r="K366" s="68"/>
      <c r="L366" s="68"/>
      <c r="P366" s="68"/>
    </row>
    <row r="367" spans="5:16" x14ac:dyDescent="0.25">
      <c r="E367" s="68"/>
      <c r="F367" s="68"/>
      <c r="G367" s="68"/>
      <c r="H367" s="68"/>
      <c r="I367" s="68"/>
      <c r="J367" s="68"/>
      <c r="K367" s="68"/>
      <c r="L367" s="68"/>
      <c r="P367" s="68"/>
    </row>
    <row r="368" spans="5:16" x14ac:dyDescent="0.25">
      <c r="E368" s="68"/>
      <c r="F368" s="68"/>
      <c r="G368" s="68"/>
      <c r="H368" s="68"/>
      <c r="I368" s="68"/>
      <c r="J368" s="68"/>
      <c r="K368" s="68"/>
      <c r="L368" s="68"/>
      <c r="P368" s="68"/>
    </row>
    <row r="369" spans="5:16" x14ac:dyDescent="0.25">
      <c r="E369" s="68"/>
      <c r="F369" s="68"/>
      <c r="G369" s="68"/>
      <c r="H369" s="68"/>
      <c r="I369" s="68"/>
      <c r="J369" s="68"/>
      <c r="K369" s="68"/>
      <c r="L369" s="68"/>
      <c r="P369" s="6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P28" sqref="P28"/>
    </sheetView>
  </sheetViews>
  <sheetFormatPr defaultRowHeight="15" x14ac:dyDescent="0.25"/>
  <cols>
    <col min="1" max="1" width="9.140625" style="53" customWidth="1"/>
    <col min="2" max="2" width="10.140625" bestFit="1" customWidth="1"/>
    <col min="3" max="3" width="10.28515625" customWidth="1"/>
    <col min="4" max="4" width="10.140625" style="51" customWidth="1"/>
    <col min="5" max="5" width="14.140625" style="52" bestFit="1" customWidth="1"/>
    <col min="6" max="6" width="10.28515625" bestFit="1" customWidth="1"/>
    <col min="7" max="7" width="14" bestFit="1" customWidth="1"/>
    <col min="8" max="8" width="10.140625" style="43" bestFit="1" customWidth="1"/>
    <col min="9" max="9" width="4" customWidth="1"/>
    <col min="10" max="10" width="10.140625" bestFit="1" customWidth="1"/>
    <col min="11" max="11" width="20" bestFit="1" customWidth="1"/>
    <col min="13" max="14" width="10.28515625" customWidth="1"/>
  </cols>
  <sheetData>
    <row r="1" spans="1:16" s="40" customFormat="1" x14ac:dyDescent="0.25">
      <c r="B1" s="40" t="s">
        <v>59</v>
      </c>
      <c r="G1" s="55">
        <v>0.2</v>
      </c>
      <c r="M1" s="75" t="s">
        <v>122</v>
      </c>
      <c r="N1" s="75" t="s">
        <v>149</v>
      </c>
      <c r="P1" s="75" t="s">
        <v>150</v>
      </c>
    </row>
    <row r="2" spans="1:16" s="17" customFormat="1" x14ac:dyDescent="0.25">
      <c r="A2" s="17" t="s">
        <v>16</v>
      </c>
      <c r="B2" s="17" t="s">
        <v>34</v>
      </c>
      <c r="C2" s="17" t="s">
        <v>35</v>
      </c>
      <c r="D2" s="17" t="s">
        <v>19</v>
      </c>
      <c r="E2" s="17" t="s">
        <v>36</v>
      </c>
      <c r="F2" s="17" t="s">
        <v>37</v>
      </c>
      <c r="G2" s="17" t="s">
        <v>38</v>
      </c>
      <c r="M2" s="17" t="s">
        <v>37</v>
      </c>
      <c r="N2" s="17" t="s">
        <v>37</v>
      </c>
      <c r="P2" s="17">
        <v>2.1</v>
      </c>
    </row>
    <row r="3" spans="1:16" x14ac:dyDescent="0.25">
      <c r="A3" s="53">
        <v>2000</v>
      </c>
      <c r="B3" s="44">
        <v>36462</v>
      </c>
      <c r="C3" s="44">
        <v>36826</v>
      </c>
      <c r="D3" s="41">
        <f>384+1798</f>
        <v>2182</v>
      </c>
      <c r="E3" s="42">
        <v>5106.4399999999996</v>
      </c>
      <c r="F3" s="45">
        <f>E3/D3</f>
        <v>2.3402566452795597</v>
      </c>
      <c r="G3" s="46">
        <f>E3*1.22</f>
        <v>6229.8567999999996</v>
      </c>
      <c r="H3" s="43" t="s">
        <v>39</v>
      </c>
      <c r="J3" t="s">
        <v>43</v>
      </c>
      <c r="K3" t="s">
        <v>44</v>
      </c>
      <c r="M3" s="45">
        <f>F3-$P$2</f>
        <v>0.24025664527955959</v>
      </c>
    </row>
    <row r="4" spans="1:16" x14ac:dyDescent="0.25">
      <c r="A4" s="53">
        <v>2001</v>
      </c>
      <c r="D4" s="41"/>
      <c r="E4" s="42"/>
      <c r="F4" s="45"/>
      <c r="H4" s="43" t="s">
        <v>39</v>
      </c>
      <c r="J4" t="s">
        <v>45</v>
      </c>
      <c r="K4" t="s">
        <v>46</v>
      </c>
      <c r="M4" s="45"/>
    </row>
    <row r="5" spans="1:16" x14ac:dyDescent="0.25">
      <c r="A5" s="53">
        <v>2002</v>
      </c>
      <c r="B5" s="44">
        <v>37194</v>
      </c>
      <c r="C5" s="44">
        <v>37559</v>
      </c>
      <c r="D5" s="41">
        <f>529+655+1793</f>
        <v>2977</v>
      </c>
      <c r="E5" s="42">
        <v>8659.02</v>
      </c>
      <c r="F5" s="45">
        <f t="shared" ref="F5:F18" si="0">E5/D5</f>
        <v>2.9086395700369501</v>
      </c>
      <c r="G5" s="46">
        <f>E5*1.22</f>
        <v>10564.0044</v>
      </c>
      <c r="H5" s="43" t="s">
        <v>39</v>
      </c>
      <c r="J5" t="s">
        <v>47</v>
      </c>
      <c r="K5" t="s">
        <v>48</v>
      </c>
      <c r="M5" s="45">
        <f t="shared" ref="M5:M16" si="1">F5-$P$2</f>
        <v>0.80863957003694997</v>
      </c>
    </row>
    <row r="6" spans="1:16" x14ac:dyDescent="0.25">
      <c r="A6" s="53">
        <v>2003</v>
      </c>
      <c r="B6" s="44">
        <v>37560</v>
      </c>
      <c r="C6" s="44">
        <v>37924</v>
      </c>
      <c r="D6" s="41">
        <f>387+1860</f>
        <v>2247</v>
      </c>
      <c r="E6" s="42">
        <v>6112.52</v>
      </c>
      <c r="F6" s="45">
        <f t="shared" si="0"/>
        <v>2.7203026257231868</v>
      </c>
      <c r="G6" s="46">
        <f>E6*1.22</f>
        <v>7457.2744000000002</v>
      </c>
      <c r="H6" s="43" t="s">
        <v>40</v>
      </c>
      <c r="J6" t="s">
        <v>49</v>
      </c>
      <c r="K6" t="s">
        <v>50</v>
      </c>
      <c r="M6" s="45">
        <f t="shared" si="1"/>
        <v>0.62030262572318673</v>
      </c>
    </row>
    <row r="7" spans="1:16" x14ac:dyDescent="0.25">
      <c r="A7" s="53">
        <v>2004</v>
      </c>
      <c r="B7" s="44">
        <v>37925</v>
      </c>
      <c r="C7" s="44">
        <v>38286</v>
      </c>
      <c r="D7" s="41">
        <v>2726</v>
      </c>
      <c r="E7" s="42">
        <v>7482.64</v>
      </c>
      <c r="F7" s="45">
        <f t="shared" si="0"/>
        <v>2.7449156272927366</v>
      </c>
      <c r="G7" s="46"/>
      <c r="H7" s="43" t="s">
        <v>40</v>
      </c>
      <c r="K7" s="50"/>
      <c r="M7" s="45">
        <f t="shared" si="1"/>
        <v>0.64491562729273655</v>
      </c>
    </row>
    <row r="8" spans="1:16" x14ac:dyDescent="0.25">
      <c r="A8" s="53">
        <v>2005</v>
      </c>
      <c r="B8" s="44">
        <v>38287</v>
      </c>
      <c r="C8" s="44">
        <v>38649</v>
      </c>
      <c r="D8" s="41">
        <v>3760</v>
      </c>
      <c r="E8" s="42">
        <v>10665.78</v>
      </c>
      <c r="F8" s="45">
        <f t="shared" si="0"/>
        <v>2.8366436170212768</v>
      </c>
      <c r="G8" s="46">
        <f>E8*1.19</f>
        <v>12692.278200000001</v>
      </c>
      <c r="H8" s="43" t="s">
        <v>40</v>
      </c>
      <c r="M8" s="45">
        <f t="shared" si="1"/>
        <v>0.73664361702127668</v>
      </c>
    </row>
    <row r="9" spans="1:16" x14ac:dyDescent="0.25">
      <c r="A9" s="53">
        <v>2006</v>
      </c>
      <c r="B9" s="44">
        <v>38650</v>
      </c>
      <c r="C9" s="44">
        <v>39013</v>
      </c>
      <c r="D9" s="41">
        <v>3632</v>
      </c>
      <c r="E9" s="42">
        <v>11535.01</v>
      </c>
      <c r="F9" s="45">
        <f t="shared" si="0"/>
        <v>3.1759388766519825</v>
      </c>
      <c r="G9" s="46">
        <f>E9*1.19</f>
        <v>13726.661899999999</v>
      </c>
      <c r="H9" s="43" t="s">
        <v>40</v>
      </c>
      <c r="M9" s="45">
        <f t="shared" si="1"/>
        <v>1.0759388766519824</v>
      </c>
    </row>
    <row r="10" spans="1:16" x14ac:dyDescent="0.25">
      <c r="A10" s="53">
        <v>2007</v>
      </c>
      <c r="B10" s="44">
        <v>39014</v>
      </c>
      <c r="C10" s="44">
        <v>39377</v>
      </c>
      <c r="D10" s="41">
        <v>3537</v>
      </c>
      <c r="E10" s="42">
        <v>12139.14</v>
      </c>
      <c r="F10" s="45">
        <f t="shared" si="0"/>
        <v>3.4320441051738761</v>
      </c>
      <c r="G10" s="46">
        <f>E10*1.19</f>
        <v>14445.576599999999</v>
      </c>
      <c r="H10" s="43" t="s">
        <v>40</v>
      </c>
      <c r="M10" s="45">
        <f t="shared" si="1"/>
        <v>1.3320441051738761</v>
      </c>
    </row>
    <row r="11" spans="1:16" x14ac:dyDescent="0.25">
      <c r="A11" s="53">
        <v>2008</v>
      </c>
      <c r="B11" s="44">
        <v>39378</v>
      </c>
      <c r="C11" s="44">
        <v>39743</v>
      </c>
      <c r="D11" s="41"/>
      <c r="E11" s="42">
        <v>12718.09</v>
      </c>
      <c r="F11" s="45"/>
      <c r="G11" s="46">
        <f>E11*1.19</f>
        <v>15134.527099999999</v>
      </c>
      <c r="H11" s="43" t="s">
        <v>40</v>
      </c>
      <c r="M11" s="45"/>
    </row>
    <row r="12" spans="1:16" x14ac:dyDescent="0.25">
      <c r="A12" s="53">
        <v>2009</v>
      </c>
      <c r="B12" s="44">
        <v>39744</v>
      </c>
      <c r="C12" s="44">
        <v>40105</v>
      </c>
      <c r="D12" s="41">
        <v>3448</v>
      </c>
      <c r="E12" s="42">
        <v>13753.84</v>
      </c>
      <c r="F12" s="45">
        <f t="shared" si="0"/>
        <v>3.9889327146171696</v>
      </c>
      <c r="G12" s="46">
        <f>E12*1.19</f>
        <v>16367.069599999999</v>
      </c>
      <c r="H12" s="43" t="s">
        <v>40</v>
      </c>
      <c r="M12" s="45">
        <f t="shared" si="1"/>
        <v>1.8889327146171695</v>
      </c>
    </row>
    <row r="13" spans="1:16" x14ac:dyDescent="0.25">
      <c r="A13" s="53">
        <v>2010</v>
      </c>
      <c r="B13" s="44">
        <v>40106</v>
      </c>
      <c r="C13" s="44">
        <v>40473</v>
      </c>
      <c r="D13" s="41">
        <f>831.2+3021.8</f>
        <v>3853</v>
      </c>
      <c r="E13" s="42">
        <f>14182+3969.72</f>
        <v>18151.72</v>
      </c>
      <c r="F13" s="45">
        <f t="shared" si="0"/>
        <v>4.7110615105112901</v>
      </c>
      <c r="G13" s="46"/>
      <c r="H13" s="43" t="s">
        <v>40</v>
      </c>
      <c r="M13" s="45">
        <f t="shared" si="1"/>
        <v>2.61106151051129</v>
      </c>
    </row>
    <row r="14" spans="1:16" x14ac:dyDescent="0.25">
      <c r="A14" s="53">
        <v>2011</v>
      </c>
      <c r="B14" s="44">
        <v>40474</v>
      </c>
      <c r="C14" s="44">
        <v>40837</v>
      </c>
      <c r="D14" s="41">
        <v>3720</v>
      </c>
      <c r="E14" s="42">
        <v>15282.15</v>
      </c>
      <c r="F14" s="45">
        <f t="shared" si="0"/>
        <v>4.1081048387096777</v>
      </c>
      <c r="G14" s="46">
        <f>E14*1.2</f>
        <v>18338.579999999998</v>
      </c>
      <c r="H14" s="43" t="s">
        <v>40</v>
      </c>
      <c r="M14" s="45">
        <f t="shared" si="1"/>
        <v>2.0081048387096776</v>
      </c>
    </row>
    <row r="15" spans="1:16" x14ac:dyDescent="0.25">
      <c r="A15" s="53">
        <v>2012</v>
      </c>
      <c r="B15" s="44">
        <v>40838</v>
      </c>
      <c r="C15" s="44">
        <v>41205</v>
      </c>
      <c r="D15" s="41">
        <v>3639</v>
      </c>
      <c r="E15" s="42">
        <v>15712.41</v>
      </c>
      <c r="F15" s="45">
        <f t="shared" si="0"/>
        <v>4.3177823577906018</v>
      </c>
      <c r="G15" s="46">
        <f>E15*1.2</f>
        <v>18854.892</v>
      </c>
      <c r="H15" s="43" t="s">
        <v>40</v>
      </c>
      <c r="M15" s="45">
        <f t="shared" si="1"/>
        <v>2.2177823577906017</v>
      </c>
    </row>
    <row r="16" spans="1:16" x14ac:dyDescent="0.25">
      <c r="A16" s="53">
        <v>2013</v>
      </c>
      <c r="B16" s="44">
        <v>41206</v>
      </c>
      <c r="C16" s="44">
        <v>41568</v>
      </c>
      <c r="D16" s="41">
        <f>1379+2049</f>
        <v>3428</v>
      </c>
      <c r="E16" s="42">
        <f>3230.78+2776.96+9432.8</f>
        <v>15440.539999999999</v>
      </c>
      <c r="F16" s="45">
        <f t="shared" si="0"/>
        <v>4.5042415402567091</v>
      </c>
      <c r="G16" s="46">
        <f>3876.94+3360.13+11413.69</f>
        <v>18650.760000000002</v>
      </c>
      <c r="H16" s="43" t="s">
        <v>41</v>
      </c>
      <c r="M16" s="45">
        <f t="shared" si="1"/>
        <v>2.404241540256709</v>
      </c>
      <c r="N16" s="45">
        <f>Tesco!O45</f>
        <v>2.8328038929066004</v>
      </c>
    </row>
    <row r="17" spans="1:14" x14ac:dyDescent="0.25">
      <c r="A17" s="54">
        <v>2014</v>
      </c>
      <c r="B17" s="47">
        <v>41569</v>
      </c>
      <c r="C17" s="47">
        <v>41932</v>
      </c>
      <c r="D17" s="48">
        <v>3357</v>
      </c>
      <c r="E17" s="49">
        <v>14396</v>
      </c>
      <c r="F17" s="45">
        <f t="shared" si="0"/>
        <v>4.2883526958593983</v>
      </c>
      <c r="G17" s="46">
        <f>E17*1.21</f>
        <v>17419.16</v>
      </c>
      <c r="H17" s="43" t="s">
        <v>42</v>
      </c>
      <c r="M17" s="45">
        <v>2.81</v>
      </c>
      <c r="N17" s="45">
        <f>Tesco!O46</f>
        <v>3.2738382387881999</v>
      </c>
    </row>
    <row r="18" spans="1:14" x14ac:dyDescent="0.25">
      <c r="A18" s="54">
        <v>2015</v>
      </c>
      <c r="B18" s="47">
        <v>41933</v>
      </c>
      <c r="C18" s="47">
        <v>42297</v>
      </c>
      <c r="D18" s="48">
        <v>3392</v>
      </c>
      <c r="E18" s="49">
        <v>16715.53</v>
      </c>
      <c r="F18" s="45">
        <f t="shared" si="0"/>
        <v>4.9279274764150944</v>
      </c>
      <c r="G18" s="46">
        <f>E18*1.21</f>
        <v>20225.791299999997</v>
      </c>
      <c r="H18" s="43" t="s">
        <v>42</v>
      </c>
      <c r="M18" s="45">
        <v>2.9</v>
      </c>
      <c r="N18" s="45">
        <f>Tesco!O47</f>
        <v>3.2373803205085676</v>
      </c>
    </row>
    <row r="19" spans="1:14" x14ac:dyDescent="0.25">
      <c r="A19" s="54">
        <v>2016</v>
      </c>
      <c r="B19" s="47">
        <v>42298</v>
      </c>
      <c r="C19" s="47">
        <v>42668</v>
      </c>
      <c r="D19" s="48">
        <v>3276</v>
      </c>
      <c r="E19" s="49">
        <v>12599.3</v>
      </c>
      <c r="F19" s="45">
        <v>3.8459401709401706</v>
      </c>
      <c r="G19" s="46">
        <v>15245.152999999998</v>
      </c>
      <c r="H19" s="43" t="s">
        <v>83</v>
      </c>
      <c r="M19" s="45">
        <v>2.4</v>
      </c>
      <c r="N19" s="45">
        <f>Tesco!O48</f>
        <v>2.6858417443577847</v>
      </c>
    </row>
    <row r="20" spans="1:14" x14ac:dyDescent="0.25">
      <c r="A20" s="61">
        <v>2017</v>
      </c>
      <c r="B20" s="2"/>
      <c r="C20" s="2"/>
      <c r="D20" s="62"/>
      <c r="E20" s="63"/>
      <c r="F20" s="84">
        <f>5E-279*A20^84.426</f>
        <v>5.035819635039994</v>
      </c>
      <c r="M20" s="45">
        <v>2.09</v>
      </c>
      <c r="N20" s="45">
        <f>Tesco!O49</f>
        <v>2.2992544939146509</v>
      </c>
    </row>
    <row r="21" spans="1:14" x14ac:dyDescent="0.25">
      <c r="A21" s="61">
        <v>2018</v>
      </c>
      <c r="B21" s="2"/>
      <c r="C21" s="2"/>
      <c r="D21" s="62"/>
      <c r="E21" s="63"/>
      <c r="F21" s="84">
        <f t="shared" ref="F21:F53" si="2">5E-279*A21^84.426</f>
        <v>5.2510241901913126</v>
      </c>
      <c r="M21" s="45">
        <v>2.02</v>
      </c>
      <c r="N21" s="45">
        <f>Tesco!O50</f>
        <v>2.4618455565142363</v>
      </c>
    </row>
    <row r="22" spans="1:14" x14ac:dyDescent="0.25">
      <c r="A22" s="61">
        <v>2019</v>
      </c>
      <c r="B22" s="2"/>
      <c r="C22" s="2"/>
      <c r="D22" s="62"/>
      <c r="E22" s="63"/>
      <c r="F22" s="84">
        <f t="shared" si="2"/>
        <v>5.4753119474079881</v>
      </c>
      <c r="M22" s="112">
        <f>0.1343*A22-268.21</f>
        <v>2.9417000000000257</v>
      </c>
    </row>
    <row r="23" spans="1:14" x14ac:dyDescent="0.25">
      <c r="A23" s="61">
        <v>2020</v>
      </c>
      <c r="B23" s="2"/>
      <c r="C23" s="2"/>
      <c r="D23" s="64"/>
      <c r="E23" s="63"/>
      <c r="F23" s="84">
        <f t="shared" si="2"/>
        <v>5.7090614978087144</v>
      </c>
      <c r="M23" s="112">
        <f t="shared" ref="M23:M53" si="3">0.1343*A23-268.21</f>
        <v>3.0760000000000218</v>
      </c>
    </row>
    <row r="24" spans="1:14" x14ac:dyDescent="0.25">
      <c r="A24" s="61">
        <v>2021</v>
      </c>
      <c r="B24" s="2"/>
      <c r="C24" s="2"/>
      <c r="D24" s="62"/>
      <c r="E24" s="63"/>
      <c r="F24" s="84">
        <f t="shared" si="2"/>
        <v>5.9526670130321166</v>
      </c>
      <c r="M24" s="112">
        <f t="shared" si="3"/>
        <v>3.2103000000000179</v>
      </c>
    </row>
    <row r="25" spans="1:14" x14ac:dyDescent="0.25">
      <c r="A25" s="61">
        <v>2022</v>
      </c>
      <c r="B25" s="2"/>
      <c r="C25" s="2"/>
      <c r="D25" s="62"/>
      <c r="E25" s="63"/>
      <c r="F25" s="84">
        <f t="shared" si="2"/>
        <v>6.2065388782448618</v>
      </c>
      <c r="M25" s="112">
        <f t="shared" si="3"/>
        <v>3.344600000000014</v>
      </c>
    </row>
    <row r="26" spans="1:14" x14ac:dyDescent="0.25">
      <c r="A26" s="61">
        <v>2023</v>
      </c>
      <c r="B26" s="2"/>
      <c r="C26" s="2"/>
      <c r="D26" s="62"/>
      <c r="E26" s="63"/>
      <c r="F26" s="84">
        <f t="shared" si="2"/>
        <v>6.4711043505332517</v>
      </c>
      <c r="M26" s="112">
        <f t="shared" si="3"/>
        <v>3.4789000000000101</v>
      </c>
    </row>
    <row r="27" spans="1:14" x14ac:dyDescent="0.25">
      <c r="A27" s="61">
        <v>2024</v>
      </c>
      <c r="B27" s="2"/>
      <c r="C27" s="2"/>
      <c r="D27" s="62"/>
      <c r="E27" s="63"/>
      <c r="F27" s="84">
        <f t="shared" si="2"/>
        <v>6.7468082436847414</v>
      </c>
      <c r="M27" s="112">
        <f t="shared" si="3"/>
        <v>3.6132000000000062</v>
      </c>
    </row>
    <row r="28" spans="1:14" x14ac:dyDescent="0.25">
      <c r="A28" s="61">
        <v>2025</v>
      </c>
      <c r="B28" s="2"/>
      <c r="C28" s="2"/>
      <c r="D28" s="62"/>
      <c r="E28" s="63"/>
      <c r="F28" s="84">
        <f t="shared" si="2"/>
        <v>7.0341136404040663</v>
      </c>
      <c r="M28" s="112">
        <f t="shared" si="3"/>
        <v>3.7475000000000023</v>
      </c>
    </row>
    <row r="29" spans="1:14" x14ac:dyDescent="0.25">
      <c r="A29" s="61">
        <v>2026</v>
      </c>
      <c r="B29" s="2"/>
      <c r="C29" s="65"/>
      <c r="D29" s="64"/>
      <c r="E29" s="63"/>
      <c r="F29" s="84">
        <f t="shared" si="2"/>
        <v>7.3335026330497364</v>
      </c>
      <c r="M29" s="112">
        <f t="shared" si="3"/>
        <v>3.8817999999999984</v>
      </c>
    </row>
    <row r="30" spans="1:14" x14ac:dyDescent="0.25">
      <c r="A30" s="61">
        <v>2027</v>
      </c>
      <c r="B30" s="2"/>
      <c r="C30" s="2"/>
      <c r="D30" s="64"/>
      <c r="E30" s="66"/>
      <c r="F30" s="84">
        <f t="shared" si="2"/>
        <v>7.6454770940079779</v>
      </c>
      <c r="M30" s="112">
        <f t="shared" si="3"/>
        <v>4.0161000000000513</v>
      </c>
    </row>
    <row r="31" spans="1:14" x14ac:dyDescent="0.25">
      <c r="A31" s="61">
        <v>2028</v>
      </c>
      <c r="B31" s="2"/>
      <c r="C31" s="2"/>
      <c r="D31" s="64"/>
      <c r="E31" s="66"/>
      <c r="F31" s="84">
        <f t="shared" si="2"/>
        <v>7.9705594768970238</v>
      </c>
      <c r="I31" s="77"/>
      <c r="M31" s="112">
        <f t="shared" si="3"/>
        <v>4.1504000000000474</v>
      </c>
    </row>
    <row r="32" spans="1:14" x14ac:dyDescent="0.25">
      <c r="A32" s="61">
        <v>2029</v>
      </c>
      <c r="B32" s="2"/>
      <c r="C32" s="2"/>
      <c r="D32" s="64"/>
      <c r="E32" s="66"/>
      <c r="F32" s="84">
        <f t="shared" si="2"/>
        <v>8.309293649791508</v>
      </c>
      <c r="I32" s="76"/>
      <c r="M32" s="112">
        <f t="shared" si="3"/>
        <v>4.2847000000000435</v>
      </c>
    </row>
    <row r="33" spans="1:13" x14ac:dyDescent="0.25">
      <c r="A33" s="61">
        <v>2030</v>
      </c>
      <c r="B33" s="2"/>
      <c r="C33" s="2"/>
      <c r="D33" s="64"/>
      <c r="E33" s="66"/>
      <c r="F33" s="84">
        <f t="shared" si="2"/>
        <v>8.6622457617523576</v>
      </c>
      <c r="M33" s="112">
        <f t="shared" si="3"/>
        <v>4.4190000000000396</v>
      </c>
    </row>
    <row r="34" spans="1:13" x14ac:dyDescent="0.25">
      <c r="A34" s="61">
        <v>2031</v>
      </c>
      <c r="B34" s="2"/>
      <c r="C34" s="2"/>
      <c r="D34" s="64"/>
      <c r="E34" s="66"/>
      <c r="F34" s="84">
        <f t="shared" si="2"/>
        <v>9.0300051439596238</v>
      </c>
      <c r="M34" s="112">
        <f t="shared" si="3"/>
        <v>4.5533000000000357</v>
      </c>
    </row>
    <row r="35" spans="1:13" x14ac:dyDescent="0.25">
      <c r="A35" s="61">
        <v>2032</v>
      </c>
      <c r="B35" s="2"/>
      <c r="C35" s="2"/>
      <c r="D35" s="64"/>
      <c r="E35" s="66"/>
      <c r="F35" s="84">
        <f t="shared" si="2"/>
        <v>9.4131852468305421</v>
      </c>
      <c r="M35" s="112">
        <f t="shared" si="3"/>
        <v>4.6876000000000317</v>
      </c>
    </row>
    <row r="36" spans="1:13" x14ac:dyDescent="0.25">
      <c r="A36" s="61">
        <v>2033</v>
      </c>
      <c r="B36" s="2"/>
      <c r="C36" s="2"/>
      <c r="D36" s="64"/>
      <c r="E36" s="66"/>
      <c r="F36" s="84">
        <f t="shared" si="2"/>
        <v>9.8124246145189638</v>
      </c>
      <c r="M36" s="112">
        <f t="shared" si="3"/>
        <v>4.8219000000000278</v>
      </c>
    </row>
    <row r="37" spans="1:13" x14ac:dyDescent="0.25">
      <c r="A37" s="61">
        <v>2034</v>
      </c>
      <c r="B37" s="2"/>
      <c r="C37" s="2"/>
      <c r="D37" s="64"/>
      <c r="E37" s="66"/>
      <c r="F37" s="84">
        <f t="shared" si="2"/>
        <v>10.228387898282724</v>
      </c>
      <c r="M37" s="112">
        <f t="shared" si="3"/>
        <v>4.9562000000000239</v>
      </c>
    </row>
    <row r="38" spans="1:13" x14ac:dyDescent="0.25">
      <c r="A38" s="61">
        <v>2035</v>
      </c>
      <c r="B38" s="2"/>
      <c r="C38" s="2"/>
      <c r="D38" s="64"/>
      <c r="E38" s="66"/>
      <c r="F38" s="84">
        <f t="shared" si="2"/>
        <v>10.661766910252187</v>
      </c>
      <c r="M38" s="112">
        <f t="shared" si="3"/>
        <v>5.09050000000002</v>
      </c>
    </row>
    <row r="39" spans="1:13" x14ac:dyDescent="0.25">
      <c r="A39" s="61">
        <v>2036</v>
      </c>
      <c r="B39" s="2"/>
      <c r="C39" s="2"/>
      <c r="D39" s="64"/>
      <c r="E39" s="66"/>
      <c r="F39" s="84">
        <f t="shared" si="2"/>
        <v>11.113281719167242</v>
      </c>
      <c r="M39" s="112">
        <f t="shared" si="3"/>
        <v>5.2248000000000161</v>
      </c>
    </row>
    <row r="40" spans="1:13" x14ac:dyDescent="0.25">
      <c r="A40" s="61">
        <v>2037</v>
      </c>
      <c r="B40" s="2"/>
      <c r="C40" s="2"/>
      <c r="D40" s="64"/>
      <c r="E40" s="66"/>
      <c r="F40" s="84">
        <f t="shared" si="2"/>
        <v>11.583681789761812</v>
      </c>
      <c r="M40" s="112">
        <f t="shared" si="3"/>
        <v>5.3591000000000122</v>
      </c>
    </row>
    <row r="41" spans="1:13" x14ac:dyDescent="0.25">
      <c r="A41" s="61">
        <v>2038</v>
      </c>
      <c r="B41" s="2"/>
      <c r="C41" s="2"/>
      <c r="D41" s="64"/>
      <c r="E41" s="66"/>
      <c r="F41" s="84">
        <f t="shared" si="2"/>
        <v>12.073747167495805</v>
      </c>
      <c r="M41" s="112">
        <f t="shared" si="3"/>
        <v>5.4934000000000083</v>
      </c>
    </row>
    <row r="42" spans="1:13" x14ac:dyDescent="0.25">
      <c r="A42" s="61">
        <v>2039</v>
      </c>
      <c r="B42" s="2"/>
      <c r="C42" s="2"/>
      <c r="D42" s="64"/>
      <c r="E42" s="66"/>
      <c r="F42" s="84">
        <f t="shared" si="2"/>
        <v>12.584289710399524</v>
      </c>
      <c r="M42" s="112">
        <f t="shared" si="3"/>
        <v>5.6277000000000044</v>
      </c>
    </row>
    <row r="43" spans="1:13" x14ac:dyDescent="0.25">
      <c r="A43" s="61">
        <v>2040</v>
      </c>
      <c r="B43" s="2"/>
      <c r="C43" s="2"/>
      <c r="D43" s="64"/>
      <c r="E43" s="66"/>
      <c r="F43" s="84">
        <f t="shared" si="2"/>
        <v>13.1161543699337</v>
      </c>
      <c r="M43" s="112">
        <f t="shared" si="3"/>
        <v>5.7620000000000005</v>
      </c>
    </row>
    <row r="44" spans="1:13" x14ac:dyDescent="0.25">
      <c r="A44" s="61">
        <v>2041</v>
      </c>
      <c r="B44" s="2"/>
      <c r="C44" s="2"/>
      <c r="D44" s="64"/>
      <c r="E44" s="66"/>
      <c r="F44" s="84">
        <f t="shared" si="2"/>
        <v>13.670220522712581</v>
      </c>
      <c r="M44" s="112">
        <f t="shared" si="3"/>
        <v>5.8963000000000534</v>
      </c>
    </row>
    <row r="45" spans="1:13" x14ac:dyDescent="0.25">
      <c r="A45" s="61">
        <v>2042</v>
      </c>
      <c r="B45" s="2"/>
      <c r="C45" s="2"/>
      <c r="D45" s="64"/>
      <c r="E45" s="66"/>
      <c r="F45" s="84">
        <f t="shared" si="2"/>
        <v>14.247403355151933</v>
      </c>
      <c r="M45" s="112">
        <f t="shared" si="3"/>
        <v>6.0306000000000495</v>
      </c>
    </row>
    <row r="46" spans="1:13" x14ac:dyDescent="0.25">
      <c r="A46" s="61">
        <v>2043</v>
      </c>
      <c r="B46" s="2"/>
      <c r="C46" s="2"/>
      <c r="D46" s="64"/>
      <c r="E46" s="66"/>
      <c r="F46" s="84">
        <f t="shared" si="2"/>
        <v>14.848655303086803</v>
      </c>
      <c r="M46" s="112">
        <f t="shared" si="3"/>
        <v>6.1649000000000456</v>
      </c>
    </row>
    <row r="47" spans="1:13" x14ac:dyDescent="0.25">
      <c r="A47" s="61">
        <v>2044</v>
      </c>
      <c r="B47" s="2"/>
      <c r="C47" s="2"/>
      <c r="D47" s="64"/>
      <c r="E47" s="66"/>
      <c r="F47" s="84">
        <f t="shared" si="2"/>
        <v>15.474967548503095</v>
      </c>
      <c r="M47" s="112">
        <f t="shared" si="3"/>
        <v>6.2992000000000417</v>
      </c>
    </row>
    <row r="48" spans="1:13" x14ac:dyDescent="0.25">
      <c r="A48" s="61">
        <v>2045</v>
      </c>
      <c r="B48" s="2"/>
      <c r="C48" s="2"/>
      <c r="D48" s="64"/>
      <c r="E48" s="66"/>
      <c r="F48" s="84">
        <f t="shared" si="2"/>
        <v>16.127371575649224</v>
      </c>
      <c r="M48" s="112">
        <f t="shared" si="3"/>
        <v>6.4335000000000377</v>
      </c>
    </row>
    <row r="49" spans="1:13" x14ac:dyDescent="0.25">
      <c r="A49" s="61">
        <v>2046</v>
      </c>
      <c r="B49" s="2"/>
      <c r="C49" s="2"/>
      <c r="D49" s="64"/>
      <c r="E49" s="66"/>
      <c r="F49" s="84">
        <f t="shared" si="2"/>
        <v>16.806940788822178</v>
      </c>
      <c r="M49" s="112">
        <f t="shared" si="3"/>
        <v>6.5678000000000338</v>
      </c>
    </row>
    <row r="50" spans="1:13" x14ac:dyDescent="0.25">
      <c r="A50" s="61">
        <v>2047</v>
      </c>
      <c r="B50" s="2"/>
      <c r="C50" s="2"/>
      <c r="D50" s="64"/>
      <c r="E50" s="66"/>
      <c r="F50" s="84">
        <f t="shared" si="2"/>
        <v>17.514792194269148</v>
      </c>
      <c r="M50" s="112">
        <f t="shared" si="3"/>
        <v>6.7021000000000299</v>
      </c>
    </row>
    <row r="51" spans="1:13" x14ac:dyDescent="0.25">
      <c r="A51" s="61">
        <v>2048</v>
      </c>
      <c r="B51" s="2"/>
      <c r="C51" s="2"/>
      <c r="D51" s="64"/>
      <c r="E51" s="66"/>
      <c r="F51" s="84">
        <f t="shared" si="2"/>
        <v>18.252088148676375</v>
      </c>
      <c r="M51" s="112">
        <f t="shared" si="3"/>
        <v>6.836400000000026</v>
      </c>
    </row>
    <row r="52" spans="1:13" x14ac:dyDescent="0.25">
      <c r="A52" s="61">
        <v>2049</v>
      </c>
      <c r="B52" s="2"/>
      <c r="C52" s="2"/>
      <c r="D52" s="64"/>
      <c r="E52" s="66"/>
      <c r="F52" s="84">
        <f t="shared" si="2"/>
        <v>19.020038176896218</v>
      </c>
      <c r="M52" s="112">
        <f t="shared" si="3"/>
        <v>6.9707000000000221</v>
      </c>
    </row>
    <row r="53" spans="1:13" x14ac:dyDescent="0.25">
      <c r="A53" s="61">
        <v>2050</v>
      </c>
      <c r="B53" s="2"/>
      <c r="C53" s="2"/>
      <c r="D53" s="64"/>
      <c r="E53" s="66"/>
      <c r="F53" s="84">
        <f t="shared" si="2"/>
        <v>19.819900861559319</v>
      </c>
      <c r="M53" s="112">
        <f t="shared" si="3"/>
        <v>7.1050000000000182</v>
      </c>
    </row>
    <row r="54" spans="1:13" x14ac:dyDescent="0.25">
      <c r="F54" s="45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workbookViewId="0">
      <selection activeCell="D3" sqref="D3"/>
    </sheetView>
  </sheetViews>
  <sheetFormatPr defaultRowHeight="15" x14ac:dyDescent="0.25"/>
  <cols>
    <col min="1" max="1" width="10.140625" bestFit="1" customWidth="1"/>
    <col min="2" max="2" width="5.5703125" style="56" bestFit="1" customWidth="1"/>
  </cols>
  <sheetData>
    <row r="1" spans="1:2" s="40" customFormat="1" x14ac:dyDescent="0.25">
      <c r="B1" s="57" t="s">
        <v>56</v>
      </c>
    </row>
    <row r="2" spans="1:2" s="17" customFormat="1" x14ac:dyDescent="0.25">
      <c r="A2" s="17" t="s">
        <v>51</v>
      </c>
      <c r="B2" s="58" t="s">
        <v>52</v>
      </c>
    </row>
    <row r="3" spans="1:2" s="4" customFormat="1" x14ac:dyDescent="0.25">
      <c r="A3" s="59" t="s">
        <v>55</v>
      </c>
      <c r="B3" s="60">
        <f>AVERAGE(B4:B346)</f>
        <v>3.7131778425655888</v>
      </c>
    </row>
    <row r="4" spans="1:2" x14ac:dyDescent="0.25">
      <c r="A4" s="44">
        <v>32874</v>
      </c>
      <c r="B4" s="56">
        <v>4</v>
      </c>
    </row>
    <row r="5" spans="1:2" x14ac:dyDescent="0.25">
      <c r="A5" s="44">
        <v>32964</v>
      </c>
      <c r="B5" s="56">
        <v>5</v>
      </c>
    </row>
    <row r="6" spans="1:2" x14ac:dyDescent="0.25">
      <c r="A6" s="44">
        <v>33147</v>
      </c>
      <c r="B6" s="56">
        <v>7</v>
      </c>
    </row>
    <row r="7" spans="1:2" x14ac:dyDescent="0.25">
      <c r="A7" s="44">
        <v>33188</v>
      </c>
      <c r="B7" s="56">
        <v>8.5</v>
      </c>
    </row>
    <row r="8" spans="1:2" x14ac:dyDescent="0.25">
      <c r="A8" s="44">
        <v>33239</v>
      </c>
      <c r="B8" s="56">
        <v>10</v>
      </c>
    </row>
    <row r="9" spans="1:2" x14ac:dyDescent="0.25">
      <c r="A9" s="44">
        <v>33489</v>
      </c>
      <c r="B9" s="56">
        <v>9.5</v>
      </c>
    </row>
    <row r="10" spans="1:2" x14ac:dyDescent="0.25">
      <c r="A10" s="44">
        <v>33688</v>
      </c>
      <c r="B10" s="56">
        <v>9</v>
      </c>
    </row>
    <row r="11" spans="1:2" x14ac:dyDescent="0.25">
      <c r="A11" s="44">
        <v>33842</v>
      </c>
      <c r="B11" s="56">
        <v>8</v>
      </c>
    </row>
    <row r="12" spans="1:2" x14ac:dyDescent="0.25">
      <c r="A12" s="44">
        <v>33968</v>
      </c>
      <c r="B12" s="56">
        <v>9.5</v>
      </c>
    </row>
    <row r="13" spans="1:2" x14ac:dyDescent="0.25">
      <c r="A13" s="44">
        <v>34000</v>
      </c>
      <c r="B13" s="56">
        <v>5.17</v>
      </c>
    </row>
    <row r="14" spans="1:2" x14ac:dyDescent="0.25">
      <c r="A14" s="44">
        <v>34028</v>
      </c>
      <c r="B14" s="56">
        <v>9.5</v>
      </c>
    </row>
    <row r="15" spans="1:2" x14ac:dyDescent="0.25">
      <c r="A15" s="44">
        <v>34059</v>
      </c>
      <c r="B15" s="56">
        <v>9.5</v>
      </c>
    </row>
    <row r="16" spans="1:2" x14ac:dyDescent="0.25">
      <c r="A16" s="44">
        <v>34089</v>
      </c>
      <c r="B16" s="56">
        <v>9.5</v>
      </c>
    </row>
    <row r="17" spans="1:6" x14ac:dyDescent="0.25">
      <c r="A17" s="44">
        <v>34120</v>
      </c>
      <c r="B17" s="56">
        <v>9.5</v>
      </c>
    </row>
    <row r="18" spans="1:6" x14ac:dyDescent="0.25">
      <c r="A18" s="44">
        <v>34130</v>
      </c>
      <c r="B18" s="56">
        <v>8</v>
      </c>
    </row>
    <row r="19" spans="1:6" x14ac:dyDescent="0.25">
      <c r="A19" s="44">
        <v>34150</v>
      </c>
      <c r="B19" s="56">
        <v>8.48</v>
      </c>
    </row>
    <row r="20" spans="1:6" x14ac:dyDescent="0.25">
      <c r="A20" s="44">
        <v>34181</v>
      </c>
      <c r="B20" s="83">
        <v>8</v>
      </c>
    </row>
    <row r="21" spans="1:6" x14ac:dyDescent="0.25">
      <c r="A21" s="44">
        <v>34212</v>
      </c>
      <c r="B21" s="83">
        <v>8</v>
      </c>
    </row>
    <row r="22" spans="1:6" x14ac:dyDescent="0.25">
      <c r="A22" s="44">
        <v>34242</v>
      </c>
      <c r="B22" s="83">
        <v>8</v>
      </c>
    </row>
    <row r="23" spans="1:6" x14ac:dyDescent="0.25">
      <c r="A23" s="44">
        <v>34273</v>
      </c>
      <c r="B23" s="83">
        <v>8</v>
      </c>
    </row>
    <row r="24" spans="1:6" x14ac:dyDescent="0.25">
      <c r="A24" s="44">
        <v>34303</v>
      </c>
      <c r="B24" s="83">
        <v>8</v>
      </c>
    </row>
    <row r="25" spans="1:6" x14ac:dyDescent="0.25">
      <c r="A25" s="44">
        <v>34334</v>
      </c>
      <c r="B25" s="83">
        <v>8</v>
      </c>
    </row>
    <row r="26" spans="1:6" x14ac:dyDescent="0.25">
      <c r="A26" s="44">
        <v>34365</v>
      </c>
      <c r="B26" s="83">
        <v>8</v>
      </c>
    </row>
    <row r="27" spans="1:6" x14ac:dyDescent="0.25">
      <c r="A27" s="44">
        <v>34393</v>
      </c>
      <c r="B27" s="83">
        <v>8</v>
      </c>
    </row>
    <row r="28" spans="1:6" x14ac:dyDescent="0.25">
      <c r="A28" s="44">
        <v>34424</v>
      </c>
      <c r="B28" s="83">
        <v>8</v>
      </c>
    </row>
    <row r="29" spans="1:6" x14ac:dyDescent="0.25">
      <c r="A29" s="44">
        <v>34454</v>
      </c>
      <c r="B29" s="83">
        <v>8</v>
      </c>
      <c r="D29" t="s">
        <v>54</v>
      </c>
      <c r="F29" t="s">
        <v>53</v>
      </c>
    </row>
    <row r="30" spans="1:6" x14ac:dyDescent="0.25">
      <c r="A30" s="44">
        <v>34485</v>
      </c>
      <c r="B30" s="83">
        <v>8</v>
      </c>
      <c r="F30" t="s">
        <v>84</v>
      </c>
    </row>
    <row r="31" spans="1:6" x14ac:dyDescent="0.25">
      <c r="A31" s="44">
        <v>34515</v>
      </c>
      <c r="B31" s="83">
        <v>8</v>
      </c>
    </row>
    <row r="32" spans="1:6" x14ac:dyDescent="0.25">
      <c r="A32" s="44">
        <v>34546</v>
      </c>
      <c r="B32" s="83">
        <v>8</v>
      </c>
    </row>
    <row r="33" spans="1:2" x14ac:dyDescent="0.25">
      <c r="A33" s="44">
        <v>34577</v>
      </c>
      <c r="B33" s="83">
        <v>8</v>
      </c>
    </row>
    <row r="34" spans="1:2" x14ac:dyDescent="0.25">
      <c r="A34" s="44">
        <v>34607</v>
      </c>
      <c r="B34" s="83">
        <v>8</v>
      </c>
    </row>
    <row r="35" spans="1:2" x14ac:dyDescent="0.25">
      <c r="A35" s="44">
        <v>34631</v>
      </c>
      <c r="B35" s="56">
        <v>8.5</v>
      </c>
    </row>
    <row r="36" spans="1:2" x14ac:dyDescent="0.25">
      <c r="A36" s="44">
        <v>34638</v>
      </c>
      <c r="B36" s="56">
        <v>8.1300000000000008</v>
      </c>
    </row>
    <row r="37" spans="1:2" x14ac:dyDescent="0.25">
      <c r="A37" s="44">
        <v>34668</v>
      </c>
      <c r="B37" s="56">
        <v>8.5</v>
      </c>
    </row>
    <row r="38" spans="1:2" x14ac:dyDescent="0.25">
      <c r="A38" s="44">
        <v>34699</v>
      </c>
      <c r="B38" s="56">
        <v>8.5</v>
      </c>
    </row>
    <row r="39" spans="1:2" x14ac:dyDescent="0.25">
      <c r="A39" s="44">
        <v>34730</v>
      </c>
      <c r="B39" s="56">
        <v>8.5</v>
      </c>
    </row>
    <row r="40" spans="1:2" x14ac:dyDescent="0.25">
      <c r="A40" s="44">
        <v>34758</v>
      </c>
      <c r="B40" s="56">
        <v>8.5</v>
      </c>
    </row>
    <row r="41" spans="1:2" x14ac:dyDescent="0.25">
      <c r="A41" s="44">
        <v>34789</v>
      </c>
      <c r="B41" s="56">
        <v>8.5</v>
      </c>
    </row>
    <row r="42" spans="1:2" x14ac:dyDescent="0.25">
      <c r="A42" s="44">
        <v>34819</v>
      </c>
      <c r="B42" s="56">
        <v>8.5</v>
      </c>
    </row>
    <row r="43" spans="1:2" x14ac:dyDescent="0.25">
      <c r="A43" s="44">
        <v>34850</v>
      </c>
      <c r="B43" s="56">
        <v>8.5</v>
      </c>
    </row>
    <row r="44" spans="1:2" x14ac:dyDescent="0.25">
      <c r="A44" s="44">
        <v>34876</v>
      </c>
      <c r="B44" s="56">
        <v>9.5</v>
      </c>
    </row>
    <row r="45" spans="1:2" x14ac:dyDescent="0.25">
      <c r="A45" s="44">
        <v>34880</v>
      </c>
      <c r="B45" s="56">
        <v>8.73</v>
      </c>
    </row>
    <row r="46" spans="1:2" x14ac:dyDescent="0.25">
      <c r="A46" s="44">
        <v>34911</v>
      </c>
      <c r="B46" s="56">
        <v>9.5</v>
      </c>
    </row>
    <row r="47" spans="1:2" x14ac:dyDescent="0.25">
      <c r="A47" s="44">
        <v>34942</v>
      </c>
      <c r="B47" s="56">
        <v>9.5</v>
      </c>
    </row>
    <row r="48" spans="1:2" x14ac:dyDescent="0.25">
      <c r="A48" s="44">
        <v>34972</v>
      </c>
      <c r="B48" s="56">
        <v>9.5</v>
      </c>
    </row>
    <row r="49" spans="1:2" x14ac:dyDescent="0.25">
      <c r="A49" s="44">
        <v>35003</v>
      </c>
      <c r="B49" s="56">
        <v>9.5</v>
      </c>
    </row>
    <row r="50" spans="1:2" x14ac:dyDescent="0.25">
      <c r="A50" s="44">
        <v>35033</v>
      </c>
      <c r="B50" s="56">
        <v>9.5</v>
      </c>
    </row>
    <row r="51" spans="1:2" x14ac:dyDescent="0.25">
      <c r="A51" s="44">
        <v>35064</v>
      </c>
      <c r="B51" s="56">
        <v>9.5</v>
      </c>
    </row>
    <row r="52" spans="1:2" x14ac:dyDescent="0.25">
      <c r="A52" s="44">
        <v>35095</v>
      </c>
      <c r="B52" s="56">
        <v>9.5</v>
      </c>
    </row>
    <row r="53" spans="1:2" x14ac:dyDescent="0.25">
      <c r="A53" s="44">
        <v>35124</v>
      </c>
      <c r="B53" s="56">
        <v>9.5</v>
      </c>
    </row>
    <row r="54" spans="1:2" x14ac:dyDescent="0.25">
      <c r="A54" s="44">
        <v>35155</v>
      </c>
      <c r="B54" s="56">
        <v>9.5</v>
      </c>
    </row>
    <row r="55" spans="1:2" x14ac:dyDescent="0.25">
      <c r="A55" s="44">
        <v>35185</v>
      </c>
      <c r="B55" s="56">
        <v>9.5</v>
      </c>
    </row>
    <row r="56" spans="1:2" x14ac:dyDescent="0.25">
      <c r="A56" s="44">
        <v>35216</v>
      </c>
      <c r="B56" s="56">
        <v>9.5</v>
      </c>
    </row>
    <row r="57" spans="1:2" x14ac:dyDescent="0.25">
      <c r="A57" s="44">
        <v>35237</v>
      </c>
      <c r="B57" s="56">
        <v>10.5</v>
      </c>
    </row>
    <row r="58" spans="1:2" x14ac:dyDescent="0.25">
      <c r="A58" s="44">
        <v>35246</v>
      </c>
      <c r="B58" s="56">
        <v>9.8000000000000007</v>
      </c>
    </row>
    <row r="59" spans="1:2" x14ac:dyDescent="0.25">
      <c r="A59" s="44">
        <v>35277</v>
      </c>
      <c r="B59" s="56">
        <v>10.5</v>
      </c>
    </row>
    <row r="60" spans="1:2" x14ac:dyDescent="0.25">
      <c r="A60" s="44">
        <v>35308</v>
      </c>
      <c r="B60" s="56">
        <v>10.5</v>
      </c>
    </row>
    <row r="61" spans="1:2" x14ac:dyDescent="0.25">
      <c r="A61" s="44">
        <v>35338</v>
      </c>
      <c r="B61" s="56">
        <v>10.5</v>
      </c>
    </row>
    <row r="62" spans="1:2" x14ac:dyDescent="0.25">
      <c r="A62" s="44">
        <v>35369</v>
      </c>
      <c r="B62" s="56">
        <v>10.5</v>
      </c>
    </row>
    <row r="63" spans="1:2" x14ac:dyDescent="0.25">
      <c r="A63" s="44">
        <v>35399</v>
      </c>
      <c r="B63" s="56">
        <v>10.5</v>
      </c>
    </row>
    <row r="64" spans="1:2" x14ac:dyDescent="0.25">
      <c r="A64" s="44">
        <v>35430</v>
      </c>
      <c r="B64" s="56">
        <v>10.5</v>
      </c>
    </row>
    <row r="65" spans="1:2" x14ac:dyDescent="0.25">
      <c r="A65" s="44">
        <v>35461</v>
      </c>
      <c r="B65" s="56">
        <v>10.5</v>
      </c>
    </row>
    <row r="66" spans="1:2" x14ac:dyDescent="0.25">
      <c r="A66" s="44">
        <v>35489</v>
      </c>
      <c r="B66" s="56">
        <v>10.5</v>
      </c>
    </row>
    <row r="67" spans="1:2" x14ac:dyDescent="0.25">
      <c r="A67" s="44">
        <v>35520</v>
      </c>
      <c r="B67" s="56">
        <v>10.5</v>
      </c>
    </row>
    <row r="68" spans="1:2" x14ac:dyDescent="0.25">
      <c r="A68" s="44">
        <v>35550</v>
      </c>
      <c r="B68" s="56">
        <v>10.5</v>
      </c>
    </row>
    <row r="69" spans="1:2" x14ac:dyDescent="0.25">
      <c r="A69" s="44">
        <v>35577</v>
      </c>
      <c r="B69" s="56">
        <v>13</v>
      </c>
    </row>
    <row r="70" spans="1:2" x14ac:dyDescent="0.25">
      <c r="A70" s="44">
        <v>35581</v>
      </c>
      <c r="B70" s="83">
        <v>11</v>
      </c>
    </row>
    <row r="71" spans="1:2" x14ac:dyDescent="0.25">
      <c r="A71" s="44">
        <v>35611</v>
      </c>
      <c r="B71" s="83">
        <v>13</v>
      </c>
    </row>
    <row r="72" spans="1:2" x14ac:dyDescent="0.25">
      <c r="A72" s="44">
        <v>35642</v>
      </c>
      <c r="B72" s="83">
        <v>13</v>
      </c>
    </row>
    <row r="73" spans="1:2" x14ac:dyDescent="0.25">
      <c r="A73" s="44">
        <v>35673</v>
      </c>
      <c r="B73" s="83">
        <v>13</v>
      </c>
    </row>
    <row r="74" spans="1:2" x14ac:dyDescent="0.25">
      <c r="A74" s="44">
        <v>35703</v>
      </c>
      <c r="B74" s="83">
        <v>13</v>
      </c>
    </row>
    <row r="75" spans="1:2" x14ac:dyDescent="0.25">
      <c r="A75" s="44">
        <v>35734</v>
      </c>
      <c r="B75" s="83">
        <v>13</v>
      </c>
    </row>
    <row r="76" spans="1:2" x14ac:dyDescent="0.25">
      <c r="A76" s="44">
        <v>35764</v>
      </c>
      <c r="B76" s="83">
        <v>13</v>
      </c>
    </row>
    <row r="77" spans="1:2" x14ac:dyDescent="0.25">
      <c r="A77" s="44">
        <v>35795</v>
      </c>
      <c r="B77" s="83">
        <v>13</v>
      </c>
    </row>
    <row r="78" spans="1:2" x14ac:dyDescent="0.25">
      <c r="A78" s="44">
        <v>35826</v>
      </c>
      <c r="B78" s="83">
        <v>13</v>
      </c>
    </row>
    <row r="79" spans="1:2" x14ac:dyDescent="0.25">
      <c r="A79" s="44">
        <v>35854</v>
      </c>
      <c r="B79" s="83">
        <v>13</v>
      </c>
    </row>
    <row r="80" spans="1:2" x14ac:dyDescent="0.25">
      <c r="A80" s="44">
        <v>35885</v>
      </c>
      <c r="B80" s="83">
        <v>13</v>
      </c>
    </row>
    <row r="81" spans="1:2" x14ac:dyDescent="0.25">
      <c r="A81" s="44">
        <v>35915</v>
      </c>
      <c r="B81" s="83">
        <v>13</v>
      </c>
    </row>
    <row r="82" spans="1:2" x14ac:dyDescent="0.25">
      <c r="A82" s="44">
        <v>35946</v>
      </c>
      <c r="B82" s="83">
        <v>13</v>
      </c>
    </row>
    <row r="83" spans="1:2" x14ac:dyDescent="0.25">
      <c r="A83" s="44">
        <v>35976</v>
      </c>
      <c r="B83" s="83">
        <v>13</v>
      </c>
    </row>
    <row r="84" spans="1:2" x14ac:dyDescent="0.25">
      <c r="A84" s="44">
        <v>36007</v>
      </c>
      <c r="B84" s="83">
        <v>13</v>
      </c>
    </row>
    <row r="85" spans="1:2" x14ac:dyDescent="0.25">
      <c r="A85" s="44">
        <v>36021</v>
      </c>
      <c r="B85" s="56">
        <v>11.5</v>
      </c>
    </row>
    <row r="86" spans="1:2" x14ac:dyDescent="0.25">
      <c r="A86" s="44">
        <v>36038</v>
      </c>
      <c r="B86" s="56">
        <v>12.14</v>
      </c>
    </row>
    <row r="87" spans="1:2" x14ac:dyDescent="0.25">
      <c r="A87" s="44">
        <v>36068</v>
      </c>
      <c r="B87" s="56">
        <v>9.5</v>
      </c>
    </row>
    <row r="88" spans="1:2" x14ac:dyDescent="0.25">
      <c r="A88" s="44">
        <v>36095</v>
      </c>
      <c r="B88" s="56">
        <v>10</v>
      </c>
    </row>
    <row r="89" spans="1:2" x14ac:dyDescent="0.25">
      <c r="A89" s="44">
        <v>36099</v>
      </c>
      <c r="B89" s="56">
        <v>9.2899999999999991</v>
      </c>
    </row>
    <row r="90" spans="1:2" x14ac:dyDescent="0.25">
      <c r="A90" s="44">
        <v>36129</v>
      </c>
      <c r="B90" s="83">
        <v>10</v>
      </c>
    </row>
    <row r="91" spans="1:2" x14ac:dyDescent="0.25">
      <c r="A91" s="44">
        <v>36152</v>
      </c>
      <c r="B91" s="56">
        <v>7.5</v>
      </c>
    </row>
    <row r="92" spans="1:2" x14ac:dyDescent="0.25">
      <c r="A92" s="44">
        <v>36160</v>
      </c>
      <c r="B92" s="56">
        <v>9.4</v>
      </c>
    </row>
    <row r="93" spans="1:2" x14ac:dyDescent="0.25">
      <c r="A93" s="44">
        <v>36191</v>
      </c>
      <c r="B93" s="56">
        <v>7.5</v>
      </c>
    </row>
    <row r="94" spans="1:2" x14ac:dyDescent="0.25">
      <c r="A94" s="44">
        <v>36219</v>
      </c>
      <c r="B94" s="56">
        <v>7.5</v>
      </c>
    </row>
    <row r="95" spans="1:2" x14ac:dyDescent="0.25">
      <c r="A95" s="44">
        <v>36231</v>
      </c>
      <c r="B95" s="56">
        <v>6</v>
      </c>
    </row>
    <row r="96" spans="1:2" x14ac:dyDescent="0.25">
      <c r="A96" s="44">
        <v>36250</v>
      </c>
      <c r="B96" s="56">
        <v>6.59</v>
      </c>
    </row>
    <row r="97" spans="1:2" x14ac:dyDescent="0.25">
      <c r="A97" s="44">
        <v>36280</v>
      </c>
      <c r="B97" s="83">
        <v>6</v>
      </c>
    </row>
    <row r="98" spans="1:2" x14ac:dyDescent="0.25">
      <c r="A98" s="44">
        <v>36311</v>
      </c>
      <c r="B98" s="83">
        <v>6</v>
      </c>
    </row>
    <row r="99" spans="1:2" x14ac:dyDescent="0.25">
      <c r="A99" s="44">
        <v>36341</v>
      </c>
      <c r="B99" s="83">
        <v>6</v>
      </c>
    </row>
    <row r="100" spans="1:2" x14ac:dyDescent="0.25">
      <c r="A100" s="44">
        <v>36372</v>
      </c>
      <c r="B100" s="83">
        <v>6</v>
      </c>
    </row>
    <row r="101" spans="1:2" x14ac:dyDescent="0.25">
      <c r="A101" s="44">
        <v>36403</v>
      </c>
      <c r="B101" s="83">
        <v>6</v>
      </c>
    </row>
    <row r="102" spans="1:2" x14ac:dyDescent="0.25">
      <c r="A102" s="44">
        <v>36406</v>
      </c>
      <c r="B102" s="56">
        <v>5.5</v>
      </c>
    </row>
    <row r="103" spans="1:2" x14ac:dyDescent="0.25">
      <c r="A103" s="44">
        <v>36433</v>
      </c>
      <c r="B103" s="56">
        <v>5.55</v>
      </c>
    </row>
    <row r="104" spans="1:2" x14ac:dyDescent="0.25">
      <c r="A104" s="44">
        <v>36460</v>
      </c>
      <c r="B104" s="56">
        <v>5</v>
      </c>
    </row>
    <row r="105" spans="1:2" x14ac:dyDescent="0.25">
      <c r="A105" s="44">
        <v>36464</v>
      </c>
      <c r="B105" s="56">
        <v>5.45</v>
      </c>
    </row>
    <row r="106" spans="1:2" x14ac:dyDescent="0.25">
      <c r="A106" s="44">
        <v>36494</v>
      </c>
      <c r="B106" s="83">
        <v>5</v>
      </c>
    </row>
    <row r="107" spans="1:2" x14ac:dyDescent="0.25">
      <c r="A107" s="44">
        <v>36525</v>
      </c>
      <c r="B107" s="83">
        <v>5</v>
      </c>
    </row>
    <row r="108" spans="1:2" x14ac:dyDescent="0.25">
      <c r="A108" s="44">
        <v>36556</v>
      </c>
      <c r="B108" s="83">
        <v>5</v>
      </c>
    </row>
    <row r="109" spans="1:2" x14ac:dyDescent="0.25">
      <c r="A109" s="44">
        <v>36585</v>
      </c>
      <c r="B109" s="83">
        <v>5</v>
      </c>
    </row>
    <row r="110" spans="1:2" x14ac:dyDescent="0.25">
      <c r="A110" s="44">
        <v>36616</v>
      </c>
      <c r="B110" s="83">
        <v>5</v>
      </c>
    </row>
    <row r="111" spans="1:2" x14ac:dyDescent="0.25">
      <c r="A111" s="44">
        <v>36646</v>
      </c>
      <c r="B111" s="83">
        <v>5</v>
      </c>
    </row>
    <row r="112" spans="1:2" x14ac:dyDescent="0.25">
      <c r="A112" s="44">
        <v>36677</v>
      </c>
      <c r="B112" s="83">
        <v>5</v>
      </c>
    </row>
    <row r="113" spans="1:2" x14ac:dyDescent="0.25">
      <c r="A113" s="44">
        <v>36707</v>
      </c>
      <c r="B113" s="83">
        <v>5</v>
      </c>
    </row>
    <row r="114" spans="1:2" x14ac:dyDescent="0.25">
      <c r="A114" s="44">
        <v>36738</v>
      </c>
      <c r="B114" s="83">
        <v>5</v>
      </c>
    </row>
    <row r="115" spans="1:2" x14ac:dyDescent="0.25">
      <c r="A115" s="44">
        <v>36769</v>
      </c>
      <c r="B115" s="83">
        <v>5</v>
      </c>
    </row>
    <row r="116" spans="1:2" x14ac:dyDescent="0.25">
      <c r="A116" s="44">
        <v>36799</v>
      </c>
      <c r="B116" s="83">
        <v>5</v>
      </c>
    </row>
    <row r="117" spans="1:2" x14ac:dyDescent="0.25">
      <c r="A117" s="44">
        <v>36830</v>
      </c>
      <c r="B117" s="83">
        <v>5</v>
      </c>
    </row>
    <row r="118" spans="1:2" x14ac:dyDescent="0.25">
      <c r="A118" s="44">
        <v>36860</v>
      </c>
      <c r="B118" s="83">
        <v>5</v>
      </c>
    </row>
    <row r="119" spans="1:2" x14ac:dyDescent="0.25">
      <c r="A119" s="44">
        <v>36891</v>
      </c>
      <c r="B119" s="83">
        <v>5</v>
      </c>
    </row>
    <row r="120" spans="1:2" x14ac:dyDescent="0.25">
      <c r="A120" s="44">
        <v>36922</v>
      </c>
      <c r="B120" s="83">
        <v>5</v>
      </c>
    </row>
    <row r="121" spans="1:2" x14ac:dyDescent="0.25">
      <c r="A121" s="44">
        <v>36945</v>
      </c>
      <c r="B121" s="56">
        <v>4</v>
      </c>
    </row>
    <row r="122" spans="1:2" x14ac:dyDescent="0.25">
      <c r="A122" s="44">
        <v>36950</v>
      </c>
      <c r="B122" s="56">
        <v>4.8</v>
      </c>
    </row>
    <row r="123" spans="1:2" x14ac:dyDescent="0.25">
      <c r="A123" s="44">
        <v>36981</v>
      </c>
      <c r="B123" s="83">
        <v>4</v>
      </c>
    </row>
    <row r="124" spans="1:2" x14ac:dyDescent="0.25">
      <c r="A124" s="44">
        <v>37011</v>
      </c>
      <c r="B124" s="83">
        <v>4</v>
      </c>
    </row>
    <row r="125" spans="1:2" x14ac:dyDescent="0.25">
      <c r="A125" s="44">
        <v>37042</v>
      </c>
      <c r="B125" s="83">
        <v>4</v>
      </c>
    </row>
    <row r="126" spans="1:2" x14ac:dyDescent="0.25">
      <c r="A126" s="44">
        <v>37072</v>
      </c>
      <c r="B126" s="83">
        <v>4</v>
      </c>
    </row>
    <row r="127" spans="1:2" x14ac:dyDescent="0.25">
      <c r="A127" s="44">
        <v>37099</v>
      </c>
      <c r="B127" s="56">
        <v>4.25</v>
      </c>
    </row>
    <row r="128" spans="1:2" x14ac:dyDescent="0.25">
      <c r="A128" s="44">
        <v>37103</v>
      </c>
      <c r="B128" s="56">
        <v>4.4000000000000004</v>
      </c>
    </row>
    <row r="129" spans="1:2" x14ac:dyDescent="0.25">
      <c r="A129" s="44">
        <v>37134</v>
      </c>
      <c r="B129" s="56">
        <v>4.25</v>
      </c>
    </row>
    <row r="130" spans="1:2" x14ac:dyDescent="0.25">
      <c r="A130" s="44">
        <v>37164</v>
      </c>
      <c r="B130" s="56">
        <v>4.25</v>
      </c>
    </row>
    <row r="131" spans="1:2" x14ac:dyDescent="0.25">
      <c r="A131" s="44">
        <v>37195</v>
      </c>
      <c r="B131" s="56">
        <v>4.25</v>
      </c>
    </row>
    <row r="132" spans="1:2" x14ac:dyDescent="0.25">
      <c r="A132" s="44">
        <v>37225</v>
      </c>
      <c r="B132" s="56">
        <v>3.75</v>
      </c>
    </row>
    <row r="133" spans="1:2" x14ac:dyDescent="0.25">
      <c r="A133" s="44">
        <v>37225</v>
      </c>
      <c r="B133" s="56">
        <v>4.2300000000000004</v>
      </c>
    </row>
    <row r="134" spans="1:2" x14ac:dyDescent="0.25">
      <c r="A134" s="44">
        <v>37256</v>
      </c>
      <c r="B134" s="56">
        <v>3.75</v>
      </c>
    </row>
    <row r="135" spans="1:2" x14ac:dyDescent="0.25">
      <c r="A135" s="44">
        <v>37278</v>
      </c>
      <c r="B135" s="56">
        <v>3.5</v>
      </c>
    </row>
    <row r="136" spans="1:2" x14ac:dyDescent="0.25">
      <c r="A136" s="44">
        <v>37287</v>
      </c>
      <c r="B136" s="56">
        <v>3.66</v>
      </c>
    </row>
    <row r="137" spans="1:2" x14ac:dyDescent="0.25">
      <c r="A137" s="44">
        <v>37288</v>
      </c>
      <c r="B137" s="56">
        <v>3.25</v>
      </c>
    </row>
    <row r="138" spans="1:2" x14ac:dyDescent="0.25">
      <c r="A138" s="44">
        <v>37315</v>
      </c>
      <c r="B138" s="56">
        <v>3.25</v>
      </c>
    </row>
    <row r="139" spans="1:2" x14ac:dyDescent="0.25">
      <c r="A139" s="44">
        <v>37346</v>
      </c>
      <c r="B139" s="56">
        <v>3.25</v>
      </c>
    </row>
    <row r="140" spans="1:2" x14ac:dyDescent="0.25">
      <c r="A140" s="44">
        <v>37372</v>
      </c>
      <c r="B140" s="56">
        <v>2.75</v>
      </c>
    </row>
    <row r="141" spans="1:2" x14ac:dyDescent="0.25">
      <c r="A141" s="44">
        <v>37376</v>
      </c>
      <c r="B141" s="56">
        <v>3.18</v>
      </c>
    </row>
    <row r="142" spans="1:2" x14ac:dyDescent="0.25">
      <c r="A142" s="44">
        <v>37407</v>
      </c>
      <c r="B142" s="56">
        <v>2.75</v>
      </c>
    </row>
    <row r="143" spans="1:2" x14ac:dyDescent="0.25">
      <c r="A143" s="44">
        <v>37437</v>
      </c>
      <c r="B143" s="56">
        <v>2.75</v>
      </c>
    </row>
    <row r="144" spans="1:2" x14ac:dyDescent="0.25">
      <c r="A144" s="44">
        <v>37463</v>
      </c>
      <c r="B144" s="56">
        <v>2</v>
      </c>
    </row>
    <row r="145" spans="1:2" x14ac:dyDescent="0.25">
      <c r="A145" s="44">
        <v>37468</v>
      </c>
      <c r="B145" s="56">
        <v>2.61</v>
      </c>
    </row>
    <row r="146" spans="1:2" x14ac:dyDescent="0.25">
      <c r="A146" s="44">
        <v>37499</v>
      </c>
      <c r="B146" s="83">
        <v>2</v>
      </c>
    </row>
    <row r="147" spans="1:2" x14ac:dyDescent="0.25">
      <c r="A147" s="44">
        <v>37529</v>
      </c>
      <c r="B147" s="83">
        <v>2</v>
      </c>
    </row>
    <row r="148" spans="1:2" x14ac:dyDescent="0.25">
      <c r="A148" s="44">
        <v>37560</v>
      </c>
      <c r="B148" s="83">
        <v>2</v>
      </c>
    </row>
    <row r="149" spans="1:2" x14ac:dyDescent="0.25">
      <c r="A149" s="44">
        <v>37561</v>
      </c>
      <c r="B149" s="56">
        <v>1.75</v>
      </c>
    </row>
    <row r="150" spans="1:2" x14ac:dyDescent="0.25">
      <c r="A150" s="44">
        <v>37590</v>
      </c>
      <c r="B150" s="56">
        <v>1.75</v>
      </c>
    </row>
    <row r="151" spans="1:2" x14ac:dyDescent="0.25">
      <c r="A151" s="44">
        <v>37621</v>
      </c>
      <c r="B151" s="56">
        <v>1.75</v>
      </c>
    </row>
    <row r="152" spans="1:2" x14ac:dyDescent="0.25">
      <c r="A152" s="44">
        <v>37652</v>
      </c>
      <c r="B152" s="56">
        <v>1.5</v>
      </c>
    </row>
    <row r="153" spans="1:2" x14ac:dyDescent="0.25">
      <c r="A153" s="44">
        <v>37652</v>
      </c>
      <c r="B153" s="56">
        <v>1.74</v>
      </c>
    </row>
    <row r="154" spans="1:2" x14ac:dyDescent="0.25">
      <c r="A154" s="44">
        <v>37680</v>
      </c>
      <c r="B154" s="56">
        <v>1.5</v>
      </c>
    </row>
    <row r="155" spans="1:2" x14ac:dyDescent="0.25">
      <c r="A155" s="44">
        <v>37711</v>
      </c>
      <c r="B155" s="56">
        <v>1.5</v>
      </c>
    </row>
    <row r="156" spans="1:2" x14ac:dyDescent="0.25">
      <c r="A156" s="44">
        <v>37741</v>
      </c>
      <c r="B156" s="56">
        <v>1.5</v>
      </c>
    </row>
    <row r="157" spans="1:2" x14ac:dyDescent="0.25">
      <c r="A157" s="44">
        <v>37772</v>
      </c>
      <c r="B157" s="56">
        <v>1.5</v>
      </c>
    </row>
    <row r="158" spans="1:2" x14ac:dyDescent="0.25">
      <c r="A158" s="44">
        <v>37798</v>
      </c>
      <c r="B158" s="56">
        <v>1.25</v>
      </c>
    </row>
    <row r="159" spans="1:2" x14ac:dyDescent="0.25">
      <c r="A159" s="44">
        <v>37802</v>
      </c>
      <c r="B159" s="56">
        <v>1.46</v>
      </c>
    </row>
    <row r="160" spans="1:2" x14ac:dyDescent="0.25">
      <c r="A160" s="44">
        <v>37833</v>
      </c>
      <c r="B160" s="56">
        <v>1.25</v>
      </c>
    </row>
    <row r="161" spans="1:2" x14ac:dyDescent="0.25">
      <c r="A161" s="44">
        <v>37834</v>
      </c>
      <c r="B161" s="56">
        <v>1</v>
      </c>
    </row>
    <row r="162" spans="1:2" x14ac:dyDescent="0.25">
      <c r="A162" s="44">
        <v>37864</v>
      </c>
      <c r="B162" s="83">
        <v>1</v>
      </c>
    </row>
    <row r="163" spans="1:2" x14ac:dyDescent="0.25">
      <c r="A163" s="44">
        <v>37894</v>
      </c>
      <c r="B163" s="83">
        <v>1</v>
      </c>
    </row>
    <row r="164" spans="1:2" x14ac:dyDescent="0.25">
      <c r="A164" s="44">
        <v>37925</v>
      </c>
      <c r="B164" s="83">
        <v>1</v>
      </c>
    </row>
    <row r="165" spans="1:2" x14ac:dyDescent="0.25">
      <c r="A165" s="44">
        <v>37955</v>
      </c>
      <c r="B165" s="83">
        <v>1</v>
      </c>
    </row>
    <row r="166" spans="1:2" x14ac:dyDescent="0.25">
      <c r="A166" s="44">
        <v>37986</v>
      </c>
      <c r="B166" s="83">
        <v>1</v>
      </c>
    </row>
    <row r="167" spans="1:2" x14ac:dyDescent="0.25">
      <c r="A167" s="44">
        <v>38017</v>
      </c>
      <c r="B167" s="83">
        <v>1</v>
      </c>
    </row>
    <row r="168" spans="1:2" x14ac:dyDescent="0.25">
      <c r="A168" s="44">
        <v>38046</v>
      </c>
      <c r="B168" s="83">
        <v>1</v>
      </c>
    </row>
    <row r="169" spans="1:2" x14ac:dyDescent="0.25">
      <c r="A169" s="44">
        <v>38077</v>
      </c>
      <c r="B169" s="83">
        <v>1</v>
      </c>
    </row>
    <row r="170" spans="1:2" x14ac:dyDescent="0.25">
      <c r="A170" s="44">
        <v>38107</v>
      </c>
      <c r="B170" s="83">
        <v>1</v>
      </c>
    </row>
    <row r="171" spans="1:2" x14ac:dyDescent="0.25">
      <c r="A171" s="44">
        <v>38138</v>
      </c>
      <c r="B171" s="83">
        <v>1</v>
      </c>
    </row>
    <row r="172" spans="1:2" x14ac:dyDescent="0.25">
      <c r="A172" s="44">
        <v>38163</v>
      </c>
      <c r="B172" s="56">
        <v>1.25</v>
      </c>
    </row>
    <row r="173" spans="1:2" x14ac:dyDescent="0.25">
      <c r="A173" s="44">
        <v>38168</v>
      </c>
      <c r="B173" s="56">
        <v>1.5</v>
      </c>
    </row>
    <row r="174" spans="1:2" x14ac:dyDescent="0.25">
      <c r="A174" s="44">
        <v>38199</v>
      </c>
      <c r="B174" s="56">
        <v>1.25</v>
      </c>
    </row>
    <row r="175" spans="1:2" x14ac:dyDescent="0.25">
      <c r="A175" s="44">
        <v>38226</v>
      </c>
      <c r="B175" s="56">
        <v>1.5</v>
      </c>
    </row>
    <row r="176" spans="1:2" x14ac:dyDescent="0.25">
      <c r="A176" s="44">
        <v>38230</v>
      </c>
      <c r="B176" s="56">
        <v>1.28</v>
      </c>
    </row>
    <row r="177" spans="1:2" x14ac:dyDescent="0.25">
      <c r="A177" s="44">
        <v>38260</v>
      </c>
      <c r="B177" s="56">
        <v>1.5</v>
      </c>
    </row>
    <row r="178" spans="1:2" x14ac:dyDescent="0.25">
      <c r="A178" s="44">
        <v>38291</v>
      </c>
      <c r="B178" s="56">
        <v>1.5</v>
      </c>
    </row>
    <row r="179" spans="1:2" x14ac:dyDescent="0.25">
      <c r="A179" s="44">
        <v>38321</v>
      </c>
      <c r="B179" s="56">
        <v>1.5</v>
      </c>
    </row>
    <row r="180" spans="1:2" x14ac:dyDescent="0.25">
      <c r="A180" s="44">
        <v>38352</v>
      </c>
      <c r="B180" s="56">
        <v>1.5</v>
      </c>
    </row>
    <row r="181" spans="1:2" x14ac:dyDescent="0.25">
      <c r="A181" s="44">
        <v>38380</v>
      </c>
      <c r="B181" s="56">
        <v>1.25</v>
      </c>
    </row>
    <row r="182" spans="1:2" x14ac:dyDescent="0.25">
      <c r="A182" s="44">
        <v>38383</v>
      </c>
      <c r="B182" s="56">
        <v>1.48</v>
      </c>
    </row>
    <row r="183" spans="1:2" x14ac:dyDescent="0.25">
      <c r="A183" s="44">
        <v>38411</v>
      </c>
      <c r="B183" s="56">
        <v>1.25</v>
      </c>
    </row>
    <row r="184" spans="1:2" x14ac:dyDescent="0.25">
      <c r="A184" s="44">
        <v>38442</v>
      </c>
      <c r="B184" s="56">
        <v>1.25</v>
      </c>
    </row>
    <row r="185" spans="1:2" x14ac:dyDescent="0.25">
      <c r="A185" s="44">
        <v>38443</v>
      </c>
      <c r="B185" s="56">
        <v>1</v>
      </c>
    </row>
    <row r="186" spans="1:2" x14ac:dyDescent="0.25">
      <c r="A186" s="44">
        <v>38471</v>
      </c>
      <c r="B186" s="56">
        <v>0.75</v>
      </c>
    </row>
    <row r="187" spans="1:2" x14ac:dyDescent="0.25">
      <c r="A187" s="44">
        <v>38472</v>
      </c>
      <c r="B187" s="83">
        <v>0.99</v>
      </c>
    </row>
    <row r="188" spans="1:2" x14ac:dyDescent="0.25">
      <c r="A188" s="44">
        <v>38503</v>
      </c>
      <c r="B188" s="83">
        <v>0.75</v>
      </c>
    </row>
    <row r="189" spans="1:2" x14ac:dyDescent="0.25">
      <c r="A189" s="44">
        <v>38533</v>
      </c>
      <c r="B189" s="83">
        <v>0.75</v>
      </c>
    </row>
    <row r="190" spans="1:2" x14ac:dyDescent="0.25">
      <c r="A190" s="44">
        <v>38564</v>
      </c>
      <c r="B190" s="83">
        <v>0.75</v>
      </c>
    </row>
    <row r="191" spans="1:2" x14ac:dyDescent="0.25">
      <c r="A191" s="44">
        <v>38595</v>
      </c>
      <c r="B191" s="83">
        <v>0.75</v>
      </c>
    </row>
    <row r="192" spans="1:2" x14ac:dyDescent="0.25">
      <c r="A192" s="44">
        <v>38625</v>
      </c>
      <c r="B192" s="83">
        <v>0.75</v>
      </c>
    </row>
    <row r="193" spans="1:2" x14ac:dyDescent="0.25">
      <c r="A193" s="44">
        <v>38656</v>
      </c>
      <c r="B193" s="56">
        <v>1</v>
      </c>
    </row>
    <row r="194" spans="1:2" x14ac:dyDescent="0.25">
      <c r="A194" s="44">
        <v>38656</v>
      </c>
      <c r="B194" s="83">
        <v>0.76</v>
      </c>
    </row>
    <row r="195" spans="1:2" x14ac:dyDescent="0.25">
      <c r="A195" s="44">
        <v>38686</v>
      </c>
      <c r="B195" s="83">
        <v>1</v>
      </c>
    </row>
    <row r="196" spans="1:2" x14ac:dyDescent="0.25">
      <c r="A196" s="44">
        <v>38717</v>
      </c>
      <c r="B196" s="83">
        <v>1</v>
      </c>
    </row>
    <row r="197" spans="1:2" x14ac:dyDescent="0.25">
      <c r="A197" s="44">
        <v>38748</v>
      </c>
      <c r="B197" s="83">
        <v>1</v>
      </c>
    </row>
    <row r="198" spans="1:2" x14ac:dyDescent="0.25">
      <c r="A198" s="44">
        <v>38776</v>
      </c>
      <c r="B198" s="83">
        <v>1</v>
      </c>
    </row>
    <row r="199" spans="1:2" x14ac:dyDescent="0.25">
      <c r="A199" s="44">
        <v>38807</v>
      </c>
      <c r="B199" s="83">
        <v>1</v>
      </c>
    </row>
    <row r="200" spans="1:2" x14ac:dyDescent="0.25">
      <c r="A200" s="44">
        <v>38837</v>
      </c>
      <c r="B200" s="83">
        <v>1</v>
      </c>
    </row>
    <row r="201" spans="1:2" x14ac:dyDescent="0.25">
      <c r="A201" s="44">
        <v>38868</v>
      </c>
      <c r="B201" s="83">
        <v>1</v>
      </c>
    </row>
    <row r="202" spans="1:2" x14ac:dyDescent="0.25">
      <c r="A202" s="44">
        <v>38898</v>
      </c>
      <c r="B202" s="83">
        <v>1</v>
      </c>
    </row>
    <row r="203" spans="1:2" x14ac:dyDescent="0.25">
      <c r="A203" s="44">
        <v>38926</v>
      </c>
      <c r="B203" s="56">
        <v>1.25</v>
      </c>
    </row>
    <row r="204" spans="1:2" x14ac:dyDescent="0.25">
      <c r="A204" s="44">
        <v>38929</v>
      </c>
      <c r="B204" s="56">
        <v>1.3</v>
      </c>
    </row>
    <row r="205" spans="1:2" x14ac:dyDescent="0.25">
      <c r="A205" s="44">
        <v>38960</v>
      </c>
      <c r="B205" s="56">
        <v>1.25</v>
      </c>
    </row>
    <row r="206" spans="1:2" x14ac:dyDescent="0.25">
      <c r="A206" s="44">
        <v>38989</v>
      </c>
      <c r="B206" s="56">
        <v>1.5</v>
      </c>
    </row>
    <row r="207" spans="1:2" x14ac:dyDescent="0.25">
      <c r="A207" s="44">
        <v>38990</v>
      </c>
      <c r="B207" s="56">
        <v>1.26</v>
      </c>
    </row>
    <row r="208" spans="1:2" x14ac:dyDescent="0.25">
      <c r="A208" s="44">
        <v>39021</v>
      </c>
      <c r="B208" s="56">
        <v>1.5</v>
      </c>
    </row>
    <row r="209" spans="1:2" x14ac:dyDescent="0.25">
      <c r="A209" s="44">
        <v>39051</v>
      </c>
      <c r="B209" s="56">
        <v>1.5</v>
      </c>
    </row>
    <row r="210" spans="1:2" x14ac:dyDescent="0.25">
      <c r="A210" s="44">
        <v>39082</v>
      </c>
      <c r="B210" s="56">
        <v>1.5</v>
      </c>
    </row>
    <row r="211" spans="1:2" x14ac:dyDescent="0.25">
      <c r="A211" s="44">
        <v>39113</v>
      </c>
      <c r="B211" s="56">
        <v>1.5</v>
      </c>
    </row>
    <row r="212" spans="1:2" x14ac:dyDescent="0.25">
      <c r="A212" s="44">
        <v>39141</v>
      </c>
      <c r="B212" s="56">
        <v>1.5</v>
      </c>
    </row>
    <row r="213" spans="1:2" x14ac:dyDescent="0.25">
      <c r="A213" s="44">
        <v>39172</v>
      </c>
      <c r="B213" s="56">
        <v>1.5</v>
      </c>
    </row>
    <row r="214" spans="1:2" x14ac:dyDescent="0.25">
      <c r="A214" s="44">
        <v>39202</v>
      </c>
      <c r="B214" s="56">
        <v>1.5</v>
      </c>
    </row>
    <row r="215" spans="1:2" x14ac:dyDescent="0.25">
      <c r="A215" s="44">
        <v>39233</v>
      </c>
      <c r="B215" s="56">
        <v>1.5</v>
      </c>
    </row>
    <row r="216" spans="1:2" x14ac:dyDescent="0.25">
      <c r="A216" s="44">
        <v>39234</v>
      </c>
      <c r="B216" s="56">
        <v>1.75</v>
      </c>
    </row>
    <row r="217" spans="1:2" x14ac:dyDescent="0.25">
      <c r="A217" s="44">
        <v>39263</v>
      </c>
      <c r="B217" s="56">
        <v>1.75</v>
      </c>
    </row>
    <row r="218" spans="1:2" x14ac:dyDescent="0.25">
      <c r="A218" s="44">
        <v>39290</v>
      </c>
      <c r="B218" s="56">
        <v>2</v>
      </c>
    </row>
    <row r="219" spans="1:2" x14ac:dyDescent="0.25">
      <c r="A219" s="44">
        <v>39294</v>
      </c>
      <c r="B219" s="56">
        <v>1.79</v>
      </c>
    </row>
    <row r="220" spans="1:2" x14ac:dyDescent="0.25">
      <c r="A220" s="44">
        <v>39325</v>
      </c>
      <c r="B220" s="56">
        <v>2.25</v>
      </c>
    </row>
    <row r="221" spans="1:2" x14ac:dyDescent="0.25">
      <c r="A221" s="44">
        <v>39325</v>
      </c>
      <c r="B221" s="56">
        <v>2.1</v>
      </c>
    </row>
    <row r="222" spans="1:2" x14ac:dyDescent="0.25">
      <c r="A222" s="44">
        <v>39355</v>
      </c>
      <c r="B222" s="56">
        <v>2.25</v>
      </c>
    </row>
    <row r="223" spans="1:2" x14ac:dyDescent="0.25">
      <c r="A223" s="44">
        <v>39386</v>
      </c>
      <c r="B223" s="56">
        <v>2.25</v>
      </c>
    </row>
    <row r="224" spans="1:2" x14ac:dyDescent="0.25">
      <c r="A224" s="44">
        <v>39416</v>
      </c>
      <c r="B224" s="56">
        <v>2.5</v>
      </c>
    </row>
    <row r="225" spans="1:2" x14ac:dyDescent="0.25">
      <c r="A225" s="44">
        <v>39416</v>
      </c>
      <c r="B225" s="56">
        <v>2.2599999999999998</v>
      </c>
    </row>
    <row r="226" spans="1:2" x14ac:dyDescent="0.25">
      <c r="A226" s="44">
        <v>39447</v>
      </c>
      <c r="B226" s="56">
        <v>2.5</v>
      </c>
    </row>
    <row r="227" spans="1:2" x14ac:dyDescent="0.25">
      <c r="A227" s="44">
        <v>39478</v>
      </c>
      <c r="B227" s="56">
        <v>2.5</v>
      </c>
    </row>
    <row r="228" spans="1:2" x14ac:dyDescent="0.25">
      <c r="A228" s="44">
        <v>39486</v>
      </c>
      <c r="B228" s="56">
        <v>2.75</v>
      </c>
    </row>
    <row r="229" spans="1:2" x14ac:dyDescent="0.25">
      <c r="A229" s="44">
        <v>39507</v>
      </c>
      <c r="B229" s="56">
        <v>2.69</v>
      </c>
    </row>
    <row r="230" spans="1:2" x14ac:dyDescent="0.25">
      <c r="A230" s="44">
        <v>39538</v>
      </c>
      <c r="B230" s="56">
        <v>2.75</v>
      </c>
    </row>
    <row r="231" spans="1:2" x14ac:dyDescent="0.25">
      <c r="A231" s="44">
        <v>39568</v>
      </c>
      <c r="B231" s="56">
        <v>2.75</v>
      </c>
    </row>
    <row r="232" spans="1:2" x14ac:dyDescent="0.25">
      <c r="A232" s="44">
        <v>39599</v>
      </c>
      <c r="B232" s="56">
        <v>2.75</v>
      </c>
    </row>
    <row r="233" spans="1:2" x14ac:dyDescent="0.25">
      <c r="A233" s="44">
        <v>39629</v>
      </c>
      <c r="B233" s="56">
        <v>2.75</v>
      </c>
    </row>
    <row r="234" spans="1:2" x14ac:dyDescent="0.25">
      <c r="A234" s="44">
        <v>39660</v>
      </c>
      <c r="B234" s="56">
        <v>2.75</v>
      </c>
    </row>
    <row r="235" spans="1:2" x14ac:dyDescent="0.25">
      <c r="A235" s="44">
        <v>39668</v>
      </c>
      <c r="B235" s="56">
        <v>2.5</v>
      </c>
    </row>
    <row r="236" spans="1:2" x14ac:dyDescent="0.25">
      <c r="A236" s="44">
        <v>39691</v>
      </c>
      <c r="B236" s="56">
        <v>2.56</v>
      </c>
    </row>
    <row r="237" spans="1:2" x14ac:dyDescent="0.25">
      <c r="A237" s="44">
        <v>39721</v>
      </c>
      <c r="B237" s="56">
        <v>2.5</v>
      </c>
    </row>
    <row r="238" spans="1:2" x14ac:dyDescent="0.25">
      <c r="A238" s="44">
        <v>39752</v>
      </c>
      <c r="B238" s="56">
        <v>2.5</v>
      </c>
    </row>
    <row r="239" spans="1:2" x14ac:dyDescent="0.25">
      <c r="A239" s="44">
        <v>39759</v>
      </c>
      <c r="B239" s="56">
        <v>1.75</v>
      </c>
    </row>
    <row r="240" spans="1:2" x14ac:dyDescent="0.25">
      <c r="A240" s="44">
        <v>39782</v>
      </c>
      <c r="B240" s="56">
        <v>1.91</v>
      </c>
    </row>
    <row r="241" spans="1:2" x14ac:dyDescent="0.25">
      <c r="A241" s="44">
        <v>39800</v>
      </c>
      <c r="B241" s="56">
        <v>1.25</v>
      </c>
    </row>
    <row r="242" spans="1:2" x14ac:dyDescent="0.25">
      <c r="A242" s="44">
        <v>39813</v>
      </c>
      <c r="B242" s="56">
        <v>1.58</v>
      </c>
    </row>
    <row r="243" spans="1:2" x14ac:dyDescent="0.25">
      <c r="A243" s="44">
        <v>39844</v>
      </c>
      <c r="B243" s="56">
        <v>1.25</v>
      </c>
    </row>
    <row r="244" spans="1:2" x14ac:dyDescent="0.25">
      <c r="A244" s="44">
        <v>39850</v>
      </c>
      <c r="B244" s="56">
        <v>0.75</v>
      </c>
    </row>
    <row r="245" spans="1:2" x14ac:dyDescent="0.25">
      <c r="A245" s="44">
        <v>39872</v>
      </c>
      <c r="B245" s="83">
        <v>0.85</v>
      </c>
    </row>
    <row r="246" spans="1:2" x14ac:dyDescent="0.25">
      <c r="A246" s="44">
        <v>39903</v>
      </c>
      <c r="B246" s="83">
        <v>0.75</v>
      </c>
    </row>
    <row r="247" spans="1:2" x14ac:dyDescent="0.25">
      <c r="A247" s="44">
        <v>39933</v>
      </c>
      <c r="B247" s="83">
        <v>0.75</v>
      </c>
    </row>
    <row r="248" spans="1:2" x14ac:dyDescent="0.25">
      <c r="A248" s="44">
        <v>39944</v>
      </c>
      <c r="B248" s="56">
        <v>0.5</v>
      </c>
    </row>
    <row r="249" spans="1:2" x14ac:dyDescent="0.25">
      <c r="A249" s="44">
        <v>39964</v>
      </c>
      <c r="B249" s="83">
        <v>0.55000000000000004</v>
      </c>
    </row>
    <row r="250" spans="1:2" x14ac:dyDescent="0.25">
      <c r="A250" s="44">
        <v>39994</v>
      </c>
      <c r="B250" s="83">
        <v>0.5</v>
      </c>
    </row>
    <row r="251" spans="1:2" x14ac:dyDescent="0.25">
      <c r="A251" s="44">
        <v>40025</v>
      </c>
      <c r="B251" s="83">
        <v>0.5</v>
      </c>
    </row>
    <row r="252" spans="1:2" x14ac:dyDescent="0.25">
      <c r="A252" s="44">
        <v>40032</v>
      </c>
      <c r="B252" s="56">
        <v>0.25</v>
      </c>
    </row>
    <row r="253" spans="1:2" x14ac:dyDescent="0.25">
      <c r="A253" s="44">
        <v>40056</v>
      </c>
      <c r="B253" s="83">
        <v>0.3</v>
      </c>
    </row>
    <row r="254" spans="1:2" x14ac:dyDescent="0.25">
      <c r="A254" s="44">
        <v>40086</v>
      </c>
      <c r="B254" s="83">
        <v>0.25</v>
      </c>
    </row>
    <row r="255" spans="1:2" x14ac:dyDescent="0.25">
      <c r="A255" s="44">
        <v>40117</v>
      </c>
      <c r="B255" s="83">
        <v>0.25</v>
      </c>
    </row>
    <row r="256" spans="1:2" x14ac:dyDescent="0.25">
      <c r="A256" s="44">
        <v>40147</v>
      </c>
      <c r="B256" s="83">
        <v>0.25</v>
      </c>
    </row>
    <row r="257" spans="1:2" x14ac:dyDescent="0.25">
      <c r="A257" s="44">
        <v>40178</v>
      </c>
      <c r="B257" s="83">
        <v>0.25</v>
      </c>
    </row>
    <row r="258" spans="1:2" x14ac:dyDescent="0.25">
      <c r="A258" s="44">
        <v>40209</v>
      </c>
      <c r="B258" s="83">
        <v>0.25</v>
      </c>
    </row>
    <row r="259" spans="1:2" x14ac:dyDescent="0.25">
      <c r="A259" s="44">
        <v>40237</v>
      </c>
      <c r="B259" s="83">
        <v>0.25</v>
      </c>
    </row>
    <row r="260" spans="1:2" x14ac:dyDescent="0.25">
      <c r="A260" s="44">
        <v>40268</v>
      </c>
      <c r="B260" s="83">
        <v>0.25</v>
      </c>
    </row>
    <row r="261" spans="1:2" x14ac:dyDescent="0.25">
      <c r="A261" s="44">
        <v>40298</v>
      </c>
      <c r="B261" s="83">
        <v>0.25</v>
      </c>
    </row>
    <row r="262" spans="1:2" x14ac:dyDescent="0.25">
      <c r="A262" s="44">
        <v>40329</v>
      </c>
      <c r="B262" s="83">
        <v>0.25</v>
      </c>
    </row>
    <row r="263" spans="1:2" x14ac:dyDescent="0.25">
      <c r="A263" s="44">
        <v>40359</v>
      </c>
      <c r="B263" s="83">
        <v>0.25</v>
      </c>
    </row>
    <row r="264" spans="1:2" x14ac:dyDescent="0.25">
      <c r="A264" s="44">
        <v>40390</v>
      </c>
      <c r="B264" s="83">
        <v>0.25</v>
      </c>
    </row>
    <row r="265" spans="1:2" x14ac:dyDescent="0.25">
      <c r="A265" s="44">
        <v>40421</v>
      </c>
      <c r="B265" s="83">
        <v>0.25</v>
      </c>
    </row>
    <row r="266" spans="1:2" x14ac:dyDescent="0.25">
      <c r="A266" s="44">
        <v>40451</v>
      </c>
      <c r="B266" s="83">
        <v>0.25</v>
      </c>
    </row>
    <row r="267" spans="1:2" x14ac:dyDescent="0.25">
      <c r="A267" s="44">
        <v>40482</v>
      </c>
      <c r="B267" s="83">
        <v>0.25</v>
      </c>
    </row>
    <row r="268" spans="1:2" x14ac:dyDescent="0.25">
      <c r="A268" s="44">
        <v>40512</v>
      </c>
      <c r="B268" s="83">
        <v>0.25</v>
      </c>
    </row>
    <row r="269" spans="1:2" x14ac:dyDescent="0.25">
      <c r="A269" s="44">
        <v>40543</v>
      </c>
      <c r="B269" s="83">
        <v>0.25</v>
      </c>
    </row>
    <row r="270" spans="1:2" x14ac:dyDescent="0.25">
      <c r="A270" s="44">
        <v>40574</v>
      </c>
      <c r="B270" s="83">
        <v>0.25</v>
      </c>
    </row>
    <row r="271" spans="1:2" x14ac:dyDescent="0.25">
      <c r="A271" s="44">
        <v>40602</v>
      </c>
      <c r="B271" s="83">
        <v>0.25</v>
      </c>
    </row>
    <row r="272" spans="1:2" x14ac:dyDescent="0.25">
      <c r="A272" s="44">
        <v>40633</v>
      </c>
      <c r="B272" s="83">
        <v>0.25</v>
      </c>
    </row>
    <row r="273" spans="1:2" x14ac:dyDescent="0.25">
      <c r="A273" s="44">
        <v>40663</v>
      </c>
      <c r="B273" s="83">
        <v>0.25</v>
      </c>
    </row>
    <row r="274" spans="1:2" x14ac:dyDescent="0.25">
      <c r="A274" s="44">
        <v>40694</v>
      </c>
      <c r="B274" s="83">
        <v>0.25</v>
      </c>
    </row>
    <row r="275" spans="1:2" x14ac:dyDescent="0.25">
      <c r="A275" s="44">
        <v>40724</v>
      </c>
      <c r="B275" s="83">
        <v>0.25</v>
      </c>
    </row>
    <row r="276" spans="1:2" x14ac:dyDescent="0.25">
      <c r="A276" s="44">
        <v>40755</v>
      </c>
      <c r="B276" s="83">
        <v>0.25</v>
      </c>
    </row>
    <row r="277" spans="1:2" x14ac:dyDescent="0.25">
      <c r="A277" s="44">
        <v>40786</v>
      </c>
      <c r="B277" s="83">
        <v>0.25</v>
      </c>
    </row>
    <row r="278" spans="1:2" x14ac:dyDescent="0.25">
      <c r="A278" s="44">
        <v>40816</v>
      </c>
      <c r="B278" s="83">
        <v>0.25</v>
      </c>
    </row>
    <row r="279" spans="1:2" x14ac:dyDescent="0.25">
      <c r="A279" s="44">
        <v>40847</v>
      </c>
      <c r="B279" s="83">
        <v>0.25</v>
      </c>
    </row>
    <row r="280" spans="1:2" x14ac:dyDescent="0.25">
      <c r="A280" s="44">
        <v>40877</v>
      </c>
      <c r="B280" s="83">
        <v>0.25</v>
      </c>
    </row>
    <row r="281" spans="1:2" x14ac:dyDescent="0.25">
      <c r="A281" s="44">
        <v>40908</v>
      </c>
      <c r="B281" s="83">
        <v>0.25</v>
      </c>
    </row>
    <row r="282" spans="1:2" x14ac:dyDescent="0.25">
      <c r="A282" s="44">
        <v>40939</v>
      </c>
      <c r="B282" s="83">
        <v>0.25</v>
      </c>
    </row>
    <row r="283" spans="1:2" x14ac:dyDescent="0.25">
      <c r="A283" s="44">
        <v>40968</v>
      </c>
      <c r="B283" s="83">
        <v>0.25</v>
      </c>
    </row>
    <row r="284" spans="1:2" x14ac:dyDescent="0.25">
      <c r="A284" s="44">
        <v>40999</v>
      </c>
      <c r="B284" s="83">
        <v>0.25</v>
      </c>
    </row>
    <row r="285" spans="1:2" x14ac:dyDescent="0.25">
      <c r="A285" s="44">
        <v>41029</v>
      </c>
      <c r="B285" s="83">
        <v>0.25</v>
      </c>
    </row>
    <row r="286" spans="1:2" x14ac:dyDescent="0.25">
      <c r="A286" s="44">
        <v>41060</v>
      </c>
      <c r="B286" s="83">
        <v>0.25</v>
      </c>
    </row>
    <row r="287" spans="1:2" x14ac:dyDescent="0.25">
      <c r="A287" s="44">
        <v>41090</v>
      </c>
      <c r="B287" s="83">
        <v>0.25</v>
      </c>
    </row>
    <row r="288" spans="1:2" x14ac:dyDescent="0.25">
      <c r="A288" s="44">
        <v>41121</v>
      </c>
      <c r="B288" s="83">
        <v>0.25</v>
      </c>
    </row>
    <row r="289" spans="1:2" x14ac:dyDescent="0.25">
      <c r="A289" s="44">
        <v>41152</v>
      </c>
      <c r="B289" s="83">
        <v>0.25</v>
      </c>
    </row>
    <row r="290" spans="1:2" x14ac:dyDescent="0.25">
      <c r="A290" s="44">
        <v>41182</v>
      </c>
      <c r="B290" s="83">
        <v>0.25</v>
      </c>
    </row>
    <row r="291" spans="1:2" x14ac:dyDescent="0.25">
      <c r="A291" s="44">
        <v>41183</v>
      </c>
      <c r="B291" s="56">
        <v>0.1</v>
      </c>
    </row>
    <row r="292" spans="1:2" x14ac:dyDescent="0.25">
      <c r="A292" s="44">
        <v>41213</v>
      </c>
      <c r="B292" s="83">
        <v>0.1</v>
      </c>
    </row>
    <row r="293" spans="1:2" x14ac:dyDescent="0.25">
      <c r="A293" s="44">
        <v>41215</v>
      </c>
      <c r="B293" s="56">
        <v>0.05</v>
      </c>
    </row>
    <row r="294" spans="1:2" x14ac:dyDescent="0.25">
      <c r="A294" s="44">
        <v>41243</v>
      </c>
      <c r="B294" s="56">
        <v>0.05</v>
      </c>
    </row>
    <row r="295" spans="1:2" x14ac:dyDescent="0.25">
      <c r="A295" s="44">
        <v>41274</v>
      </c>
      <c r="B295" s="56">
        <v>0.05</v>
      </c>
    </row>
    <row r="296" spans="1:2" x14ac:dyDescent="0.25">
      <c r="A296" s="44">
        <v>41305</v>
      </c>
      <c r="B296" s="56">
        <v>0.05</v>
      </c>
    </row>
    <row r="297" spans="1:2" x14ac:dyDescent="0.25">
      <c r="A297" s="44">
        <v>41333</v>
      </c>
      <c r="B297" s="56">
        <v>0.05</v>
      </c>
    </row>
    <row r="298" spans="1:2" x14ac:dyDescent="0.25">
      <c r="A298" s="44">
        <v>41364</v>
      </c>
      <c r="B298" s="56">
        <v>0.05</v>
      </c>
    </row>
    <row r="299" spans="1:2" x14ac:dyDescent="0.25">
      <c r="A299" s="44">
        <v>41394</v>
      </c>
      <c r="B299" s="56">
        <v>0.05</v>
      </c>
    </row>
    <row r="300" spans="1:2" x14ac:dyDescent="0.25">
      <c r="A300" s="44">
        <v>41425</v>
      </c>
      <c r="B300" s="56">
        <v>0.05</v>
      </c>
    </row>
    <row r="301" spans="1:2" x14ac:dyDescent="0.25">
      <c r="A301" s="44">
        <v>41455</v>
      </c>
      <c r="B301" s="56">
        <v>0.05</v>
      </c>
    </row>
    <row r="302" spans="1:2" x14ac:dyDescent="0.25">
      <c r="A302" s="44">
        <v>41486</v>
      </c>
      <c r="B302" s="56">
        <v>0.05</v>
      </c>
    </row>
    <row r="303" spans="1:2" x14ac:dyDescent="0.25">
      <c r="A303" s="44">
        <v>41517</v>
      </c>
      <c r="B303" s="56">
        <v>0.05</v>
      </c>
    </row>
    <row r="304" spans="1:2" x14ac:dyDescent="0.25">
      <c r="A304" s="44">
        <v>41547</v>
      </c>
      <c r="B304" s="56">
        <v>0.05</v>
      </c>
    </row>
    <row r="305" spans="1:2" x14ac:dyDescent="0.25">
      <c r="A305" s="44">
        <v>41578</v>
      </c>
      <c r="B305" s="56">
        <v>0.05</v>
      </c>
    </row>
    <row r="306" spans="1:2" x14ac:dyDescent="0.25">
      <c r="A306" s="44">
        <v>41608</v>
      </c>
      <c r="B306" s="56">
        <v>0.05</v>
      </c>
    </row>
    <row r="307" spans="1:2" x14ac:dyDescent="0.25">
      <c r="A307" s="44">
        <v>41639</v>
      </c>
      <c r="B307" s="56">
        <v>0.05</v>
      </c>
    </row>
    <row r="308" spans="1:2" x14ac:dyDescent="0.25">
      <c r="A308" s="44">
        <v>41670</v>
      </c>
      <c r="B308" s="56">
        <v>0.05</v>
      </c>
    </row>
    <row r="309" spans="1:2" x14ac:dyDescent="0.25">
      <c r="A309" s="44">
        <v>41698</v>
      </c>
      <c r="B309" s="56">
        <v>0.05</v>
      </c>
    </row>
    <row r="310" spans="1:2" x14ac:dyDescent="0.25">
      <c r="A310" s="44">
        <v>41729</v>
      </c>
      <c r="B310" s="56">
        <v>0.05</v>
      </c>
    </row>
    <row r="311" spans="1:2" x14ac:dyDescent="0.25">
      <c r="A311" s="44">
        <v>41759</v>
      </c>
      <c r="B311" s="56">
        <v>0.05</v>
      </c>
    </row>
    <row r="312" spans="1:2" x14ac:dyDescent="0.25">
      <c r="A312" s="44">
        <v>41790</v>
      </c>
      <c r="B312" s="56">
        <v>0.05</v>
      </c>
    </row>
    <row r="313" spans="1:2" x14ac:dyDescent="0.25">
      <c r="A313" s="44">
        <v>41820</v>
      </c>
      <c r="B313" s="56">
        <v>0.05</v>
      </c>
    </row>
    <row r="314" spans="1:2" x14ac:dyDescent="0.25">
      <c r="A314" s="44">
        <v>41851</v>
      </c>
      <c r="B314" s="56">
        <v>0.05</v>
      </c>
    </row>
    <row r="315" spans="1:2" x14ac:dyDescent="0.25">
      <c r="A315" s="44">
        <v>41882</v>
      </c>
      <c r="B315" s="56">
        <v>0.05</v>
      </c>
    </row>
    <row r="316" spans="1:2" x14ac:dyDescent="0.25">
      <c r="A316" s="44">
        <v>41912</v>
      </c>
      <c r="B316" s="56">
        <v>0.05</v>
      </c>
    </row>
    <row r="317" spans="1:2" x14ac:dyDescent="0.25">
      <c r="A317" s="44">
        <v>41943</v>
      </c>
      <c r="B317" s="56">
        <v>0.05</v>
      </c>
    </row>
    <row r="318" spans="1:2" x14ac:dyDescent="0.25">
      <c r="A318" s="44">
        <v>41973</v>
      </c>
      <c r="B318" s="56">
        <v>0.05</v>
      </c>
    </row>
    <row r="319" spans="1:2" x14ac:dyDescent="0.25">
      <c r="A319" s="44">
        <v>42004</v>
      </c>
      <c r="B319" s="56">
        <v>0.05</v>
      </c>
    </row>
    <row r="320" spans="1:2" x14ac:dyDescent="0.25">
      <c r="A320" s="44">
        <v>42035</v>
      </c>
      <c r="B320" s="56">
        <v>0.05</v>
      </c>
    </row>
    <row r="321" spans="1:2" x14ac:dyDescent="0.25">
      <c r="A321" s="44">
        <v>42063</v>
      </c>
      <c r="B321" s="56">
        <v>0.05</v>
      </c>
    </row>
    <row r="322" spans="1:2" x14ac:dyDescent="0.25">
      <c r="A322" s="44">
        <v>42094</v>
      </c>
      <c r="B322" s="56">
        <v>0.05</v>
      </c>
    </row>
    <row r="323" spans="1:2" x14ac:dyDescent="0.25">
      <c r="A323" s="44">
        <v>42124</v>
      </c>
      <c r="B323" s="56">
        <v>0.05</v>
      </c>
    </row>
    <row r="324" spans="1:2" x14ac:dyDescent="0.25">
      <c r="A324" s="44">
        <v>42155</v>
      </c>
      <c r="B324" s="56">
        <v>0.05</v>
      </c>
    </row>
    <row r="325" spans="1:2" x14ac:dyDescent="0.25">
      <c r="A325" s="44">
        <v>42185</v>
      </c>
      <c r="B325" s="56">
        <v>0.05</v>
      </c>
    </row>
    <row r="326" spans="1:2" x14ac:dyDescent="0.25">
      <c r="A326" s="44">
        <v>42216</v>
      </c>
      <c r="B326" s="56">
        <v>0.05</v>
      </c>
    </row>
    <row r="327" spans="1:2" x14ac:dyDescent="0.25">
      <c r="A327" s="44">
        <v>42247</v>
      </c>
      <c r="B327" s="56">
        <v>0.05</v>
      </c>
    </row>
    <row r="328" spans="1:2" x14ac:dyDescent="0.25">
      <c r="A328" s="44">
        <v>42277</v>
      </c>
      <c r="B328" s="56">
        <v>0.05</v>
      </c>
    </row>
    <row r="329" spans="1:2" x14ac:dyDescent="0.25">
      <c r="A329" s="44">
        <v>42308</v>
      </c>
      <c r="B329" s="56">
        <v>0.05</v>
      </c>
    </row>
    <row r="330" spans="1:2" x14ac:dyDescent="0.25">
      <c r="A330" s="44">
        <v>42338</v>
      </c>
      <c r="B330" s="56">
        <v>0.05</v>
      </c>
    </row>
    <row r="331" spans="1:2" x14ac:dyDescent="0.25">
      <c r="A331" s="44">
        <v>42369</v>
      </c>
      <c r="B331" s="56">
        <v>0.05</v>
      </c>
    </row>
    <row r="332" spans="1:2" x14ac:dyDescent="0.25">
      <c r="A332" s="44">
        <v>42400</v>
      </c>
      <c r="B332" s="56">
        <v>0.05</v>
      </c>
    </row>
    <row r="333" spans="1:2" x14ac:dyDescent="0.25">
      <c r="A333" s="44">
        <v>42429</v>
      </c>
      <c r="B333" s="56">
        <v>0.05</v>
      </c>
    </row>
    <row r="334" spans="1:2" x14ac:dyDescent="0.25">
      <c r="A334" s="44">
        <v>42460</v>
      </c>
      <c r="B334" s="56">
        <v>0.05</v>
      </c>
    </row>
    <row r="335" spans="1:2" x14ac:dyDescent="0.25">
      <c r="A335" s="44">
        <v>42490</v>
      </c>
      <c r="B335" s="56">
        <v>0.05</v>
      </c>
    </row>
    <row r="336" spans="1:2" x14ac:dyDescent="0.25">
      <c r="A336" s="44">
        <v>42521</v>
      </c>
      <c r="B336" s="56">
        <v>0.05</v>
      </c>
    </row>
    <row r="337" spans="1:2" x14ac:dyDescent="0.25">
      <c r="A337" s="44">
        <v>42551</v>
      </c>
      <c r="B337" s="56">
        <v>0.05</v>
      </c>
    </row>
    <row r="338" spans="1:2" x14ac:dyDescent="0.25">
      <c r="A338" s="44">
        <v>42582</v>
      </c>
      <c r="B338" s="56">
        <v>0.05</v>
      </c>
    </row>
    <row r="339" spans="1:2" x14ac:dyDescent="0.25">
      <c r="A339" s="44">
        <v>42613</v>
      </c>
      <c r="B339" s="56">
        <v>0.05</v>
      </c>
    </row>
    <row r="340" spans="1:2" x14ac:dyDescent="0.25">
      <c r="A340" s="44">
        <v>42643</v>
      </c>
      <c r="B340" s="56">
        <v>0.05</v>
      </c>
    </row>
    <row r="341" spans="1:2" x14ac:dyDescent="0.25">
      <c r="A341" s="44">
        <v>42674</v>
      </c>
      <c r="B341" s="56">
        <v>0.05</v>
      </c>
    </row>
    <row r="342" spans="1:2" x14ac:dyDescent="0.25">
      <c r="A342" s="44">
        <v>42704</v>
      </c>
      <c r="B342" s="56">
        <v>0.05</v>
      </c>
    </row>
    <row r="343" spans="1:2" x14ac:dyDescent="0.25">
      <c r="A343" s="44">
        <v>42735</v>
      </c>
      <c r="B343" s="56">
        <v>0.05</v>
      </c>
    </row>
    <row r="344" spans="1:2" x14ac:dyDescent="0.25">
      <c r="A344" s="44">
        <v>42766</v>
      </c>
      <c r="B344" s="56">
        <v>0.05</v>
      </c>
    </row>
    <row r="345" spans="1:2" x14ac:dyDescent="0.25">
      <c r="A345" s="44">
        <v>42794</v>
      </c>
      <c r="B345" s="56">
        <v>0.05</v>
      </c>
    </row>
    <row r="346" spans="1:2" x14ac:dyDescent="0.25">
      <c r="A346" s="44">
        <v>42825</v>
      </c>
      <c r="B346" s="56">
        <v>0.05</v>
      </c>
    </row>
  </sheetData>
  <sortState ref="A4:B346">
    <sortCondition ref="A4:A346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AG47"/>
  <sheetViews>
    <sheetView workbookViewId="0">
      <selection activeCell="V69" sqref="V69"/>
    </sheetView>
  </sheetViews>
  <sheetFormatPr defaultRowHeight="15" x14ac:dyDescent="0.25"/>
  <cols>
    <col min="1" max="1" width="37" customWidth="1"/>
    <col min="2" max="21" width="12.85546875" customWidth="1"/>
    <col min="22" max="31" width="14.5703125" bestFit="1" customWidth="1"/>
    <col min="32" max="32" width="3.7109375" customWidth="1"/>
    <col min="33" max="33" width="13.85546875" bestFit="1" customWidth="1"/>
  </cols>
  <sheetData>
    <row r="1" spans="1:33" s="40" customFormat="1" x14ac:dyDescent="0.25">
      <c r="A1" s="40" t="s">
        <v>119</v>
      </c>
      <c r="F1" s="40" t="s">
        <v>151</v>
      </c>
    </row>
    <row r="2" spans="1:33" s="17" customFormat="1" x14ac:dyDescent="0.25">
      <c r="A2" s="17" t="s">
        <v>16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>
        <v>14</v>
      </c>
      <c r="P2" s="17">
        <v>15</v>
      </c>
      <c r="Q2" s="17">
        <v>16</v>
      </c>
      <c r="R2" s="17">
        <v>17</v>
      </c>
      <c r="S2" s="17">
        <v>18</v>
      </c>
      <c r="T2" s="17">
        <v>19</v>
      </c>
      <c r="U2" s="17">
        <v>20</v>
      </c>
      <c r="V2" s="17">
        <v>21</v>
      </c>
      <c r="W2" s="17">
        <v>22</v>
      </c>
      <c r="X2" s="17">
        <v>23</v>
      </c>
      <c r="Y2" s="17">
        <v>24</v>
      </c>
      <c r="Z2" s="17">
        <v>25</v>
      </c>
      <c r="AA2" s="17">
        <v>26</v>
      </c>
      <c r="AB2" s="17">
        <v>27</v>
      </c>
      <c r="AC2" s="17">
        <v>28</v>
      </c>
      <c r="AD2" s="17">
        <v>29</v>
      </c>
      <c r="AE2" s="17">
        <v>30</v>
      </c>
      <c r="AG2" s="17" t="s">
        <v>30</v>
      </c>
    </row>
    <row r="3" spans="1:33" s="33" customFormat="1" x14ac:dyDescent="0.25">
      <c r="B3" s="33">
        <v>2013</v>
      </c>
      <c r="C3" s="33">
        <v>2014</v>
      </c>
      <c r="D3" s="33">
        <v>2015</v>
      </c>
      <c r="E3" s="33">
        <v>2016</v>
      </c>
      <c r="F3" s="33">
        <v>2017</v>
      </c>
      <c r="G3" s="33">
        <v>2018</v>
      </c>
      <c r="H3" s="33">
        <v>2019</v>
      </c>
      <c r="I3" s="33">
        <v>2020</v>
      </c>
      <c r="J3" s="33">
        <v>2021</v>
      </c>
      <c r="K3" s="33">
        <v>2022</v>
      </c>
      <c r="L3" s="33">
        <v>2023</v>
      </c>
      <c r="M3" s="33">
        <v>2024</v>
      </c>
      <c r="N3" s="33">
        <v>2025</v>
      </c>
      <c r="O3" s="33">
        <v>2026</v>
      </c>
      <c r="P3" s="33">
        <v>2027</v>
      </c>
      <c r="Q3" s="33">
        <v>2028</v>
      </c>
      <c r="R3" s="33">
        <v>2029</v>
      </c>
      <c r="S3" s="33">
        <v>2030</v>
      </c>
      <c r="T3" s="33">
        <v>2031</v>
      </c>
      <c r="U3" s="33">
        <v>2032</v>
      </c>
      <c r="V3" s="33">
        <v>2033</v>
      </c>
      <c r="W3" s="33">
        <v>2034</v>
      </c>
      <c r="X3" s="33">
        <v>2035</v>
      </c>
      <c r="Y3" s="33">
        <v>2036</v>
      </c>
      <c r="Z3" s="33">
        <v>2037</v>
      </c>
      <c r="AA3" s="33">
        <v>2038</v>
      </c>
      <c r="AB3" s="33">
        <v>2039</v>
      </c>
      <c r="AC3" s="33">
        <v>2040</v>
      </c>
      <c r="AD3" s="33">
        <v>2041</v>
      </c>
      <c r="AE3" s="33">
        <v>2042</v>
      </c>
    </row>
    <row r="4" spans="1:33" s="6" customFormat="1" x14ac:dyDescent="0.25">
      <c r="A4" s="6" t="s">
        <v>91</v>
      </c>
      <c r="B4" s="7">
        <f t="shared" ref="B4:AE4" si="0">B5+B14</f>
        <v>754700</v>
      </c>
      <c r="C4" s="7">
        <f t="shared" si="0"/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 t="shared" si="0"/>
        <v>0</v>
      </c>
      <c r="W4" s="7">
        <f t="shared" si="0"/>
        <v>0</v>
      </c>
      <c r="X4" s="7">
        <f t="shared" si="0"/>
        <v>0</v>
      </c>
      <c r="Y4" s="7">
        <f t="shared" si="0"/>
        <v>0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  <c r="AD4" s="7">
        <f t="shared" si="0"/>
        <v>0</v>
      </c>
      <c r="AE4" s="7">
        <f t="shared" si="0"/>
        <v>0</v>
      </c>
      <c r="AG4" s="7">
        <f>SUM(B4:AE4)</f>
        <v>754700</v>
      </c>
    </row>
    <row r="5" spans="1:33" s="4" customFormat="1" x14ac:dyDescent="0.25">
      <c r="A5" s="4" t="s">
        <v>80</v>
      </c>
      <c r="B5" s="5">
        <v>754700</v>
      </c>
      <c r="C5" s="5">
        <f t="shared" ref="C5:AE5" si="1">SUM(C6:C12)</f>
        <v>0</v>
      </c>
      <c r="D5" s="5">
        <f t="shared" si="1"/>
        <v>0</v>
      </c>
      <c r="E5" s="5">
        <f t="shared" si="1"/>
        <v>0</v>
      </c>
      <c r="F5" s="5">
        <f t="shared" si="1"/>
        <v>0</v>
      </c>
      <c r="G5" s="5">
        <f t="shared" si="1"/>
        <v>0</v>
      </c>
      <c r="H5" s="5">
        <f t="shared" si="1"/>
        <v>0</v>
      </c>
      <c r="I5" s="5">
        <f t="shared" si="1"/>
        <v>0</v>
      </c>
      <c r="J5" s="5">
        <f t="shared" si="1"/>
        <v>0</v>
      </c>
      <c r="K5" s="5">
        <f t="shared" si="1"/>
        <v>0</v>
      </c>
      <c r="L5" s="5">
        <f t="shared" si="1"/>
        <v>0</v>
      </c>
      <c r="M5" s="5">
        <f t="shared" si="1"/>
        <v>0</v>
      </c>
      <c r="N5" s="5">
        <f t="shared" si="1"/>
        <v>0</v>
      </c>
      <c r="O5" s="5">
        <f t="shared" si="1"/>
        <v>0</v>
      </c>
      <c r="P5" s="5">
        <f t="shared" si="1"/>
        <v>0</v>
      </c>
      <c r="Q5" s="5">
        <f t="shared" si="1"/>
        <v>0</v>
      </c>
      <c r="R5" s="5">
        <f t="shared" si="1"/>
        <v>0</v>
      </c>
      <c r="S5" s="5">
        <f t="shared" si="1"/>
        <v>0</v>
      </c>
      <c r="T5" s="5">
        <f t="shared" si="1"/>
        <v>0</v>
      </c>
      <c r="U5" s="5">
        <f t="shared" si="1"/>
        <v>0</v>
      </c>
      <c r="V5" s="5">
        <f t="shared" si="1"/>
        <v>0</v>
      </c>
      <c r="W5" s="5">
        <f t="shared" si="1"/>
        <v>0</v>
      </c>
      <c r="X5" s="5">
        <f t="shared" si="1"/>
        <v>0</v>
      </c>
      <c r="Y5" s="5">
        <f t="shared" si="1"/>
        <v>0</v>
      </c>
      <c r="Z5" s="5">
        <f t="shared" si="1"/>
        <v>0</v>
      </c>
      <c r="AA5" s="5">
        <f t="shared" si="1"/>
        <v>0</v>
      </c>
      <c r="AB5" s="5">
        <f t="shared" si="1"/>
        <v>0</v>
      </c>
      <c r="AC5" s="5">
        <f t="shared" si="1"/>
        <v>0</v>
      </c>
      <c r="AD5" s="5">
        <f t="shared" si="1"/>
        <v>0</v>
      </c>
      <c r="AE5" s="5">
        <f t="shared" si="1"/>
        <v>0</v>
      </c>
    </row>
    <row r="6" spans="1:33" x14ac:dyDescent="0.25">
      <c r="A6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33" x14ac:dyDescent="0.25">
      <c r="A7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3" x14ac:dyDescent="0.25">
      <c r="A8" t="s">
        <v>25</v>
      </c>
      <c r="B8" s="1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P8" s="1"/>
      <c r="U8" s="1"/>
    </row>
    <row r="9" spans="1:33" x14ac:dyDescent="0.25">
      <c r="A9" t="s">
        <v>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33" x14ac:dyDescent="0.25">
      <c r="A10" t="s">
        <v>57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Q10" s="1"/>
      <c r="V10" s="1"/>
      <c r="AA10" s="1"/>
    </row>
    <row r="11" spans="1:33" x14ac:dyDescent="0.25">
      <c r="A11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33" x14ac:dyDescent="0.25">
      <c r="A12" t="s">
        <v>82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33" s="2" customFormat="1" x14ac:dyDescent="0.25">
      <c r="A13" s="2" t="s">
        <v>79</v>
      </c>
      <c r="B13" s="82">
        <v>0.75</v>
      </c>
      <c r="C13" s="82">
        <f>B13+$B$39/100</f>
        <v>0.75009999999999999</v>
      </c>
      <c r="D13" s="82">
        <f t="shared" ref="D13:AE13" si="2">C13+$B$39/100</f>
        <v>0.75019999999999998</v>
      </c>
      <c r="E13" s="82">
        <f t="shared" si="2"/>
        <v>0.75029999999999997</v>
      </c>
      <c r="F13" s="82">
        <f t="shared" si="2"/>
        <v>0.75039999999999996</v>
      </c>
      <c r="G13" s="82">
        <f t="shared" si="2"/>
        <v>0.75049999999999994</v>
      </c>
      <c r="H13" s="82">
        <f t="shared" si="2"/>
        <v>0.75059999999999993</v>
      </c>
      <c r="I13" s="82">
        <f t="shared" si="2"/>
        <v>0.75069999999999992</v>
      </c>
      <c r="J13" s="82">
        <f t="shared" si="2"/>
        <v>0.75079999999999991</v>
      </c>
      <c r="K13" s="82">
        <f t="shared" si="2"/>
        <v>0.7508999999999999</v>
      </c>
      <c r="L13" s="82">
        <f t="shared" si="2"/>
        <v>0.75099999999999989</v>
      </c>
      <c r="M13" s="82">
        <f t="shared" si="2"/>
        <v>0.75109999999999988</v>
      </c>
      <c r="N13" s="82">
        <f t="shared" si="2"/>
        <v>0.75119999999999987</v>
      </c>
      <c r="O13" s="82">
        <f t="shared" si="2"/>
        <v>0.75129999999999986</v>
      </c>
      <c r="P13" s="82">
        <f t="shared" si="2"/>
        <v>0.75139999999999985</v>
      </c>
      <c r="Q13" s="82">
        <f t="shared" si="2"/>
        <v>0.75149999999999983</v>
      </c>
      <c r="R13" s="82">
        <f t="shared" si="2"/>
        <v>0.75159999999999982</v>
      </c>
      <c r="S13" s="82">
        <f t="shared" si="2"/>
        <v>0.75169999999999981</v>
      </c>
      <c r="T13" s="82">
        <f t="shared" si="2"/>
        <v>0.7517999999999998</v>
      </c>
      <c r="U13" s="82">
        <f t="shared" si="2"/>
        <v>0.75189999999999979</v>
      </c>
      <c r="V13" s="82">
        <f t="shared" si="2"/>
        <v>0.75199999999999978</v>
      </c>
      <c r="W13" s="82">
        <f t="shared" si="2"/>
        <v>0.75209999999999977</v>
      </c>
      <c r="X13" s="82">
        <f t="shared" si="2"/>
        <v>0.75219999999999976</v>
      </c>
      <c r="Y13" s="82">
        <f t="shared" si="2"/>
        <v>0.75229999999999975</v>
      </c>
      <c r="Z13" s="82">
        <f t="shared" si="2"/>
        <v>0.75239999999999974</v>
      </c>
      <c r="AA13" s="82">
        <f t="shared" si="2"/>
        <v>0.75249999999999972</v>
      </c>
      <c r="AB13" s="82">
        <f t="shared" si="2"/>
        <v>0.75259999999999971</v>
      </c>
      <c r="AC13" s="82">
        <f t="shared" si="2"/>
        <v>0.7526999999999997</v>
      </c>
      <c r="AD13" s="82">
        <f t="shared" si="2"/>
        <v>0.75279999999999969</v>
      </c>
      <c r="AE13" s="82">
        <f t="shared" si="2"/>
        <v>0.75289999999999968</v>
      </c>
    </row>
    <row r="14" spans="1:33" s="4" customFormat="1" x14ac:dyDescent="0.25">
      <c r="A14" s="4" t="s">
        <v>9</v>
      </c>
      <c r="B14" s="5">
        <f t="shared" ref="B14:AE14" si="3">SUM(B15:B20)+B23</f>
        <v>0</v>
      </c>
      <c r="C14" s="5">
        <f t="shared" si="3"/>
        <v>0</v>
      </c>
      <c r="D14" s="5">
        <f t="shared" si="3"/>
        <v>0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  <c r="N14" s="5">
        <f t="shared" si="3"/>
        <v>0</v>
      </c>
      <c r="O14" s="5">
        <f t="shared" si="3"/>
        <v>0</v>
      </c>
      <c r="P14" s="5">
        <f t="shared" si="3"/>
        <v>0</v>
      </c>
      <c r="Q14" s="5">
        <f t="shared" si="3"/>
        <v>0</v>
      </c>
      <c r="R14" s="5">
        <f t="shared" si="3"/>
        <v>0</v>
      </c>
      <c r="S14" s="5">
        <f t="shared" si="3"/>
        <v>0</v>
      </c>
      <c r="T14" s="5">
        <f t="shared" si="3"/>
        <v>0</v>
      </c>
      <c r="U14" s="5">
        <f t="shared" si="3"/>
        <v>0</v>
      </c>
      <c r="V14" s="5">
        <f t="shared" si="3"/>
        <v>0</v>
      </c>
      <c r="W14" s="5">
        <f t="shared" si="3"/>
        <v>0</v>
      </c>
      <c r="X14" s="5">
        <f t="shared" si="3"/>
        <v>0</v>
      </c>
      <c r="Y14" s="5">
        <f t="shared" si="3"/>
        <v>0</v>
      </c>
      <c r="Z14" s="5">
        <f t="shared" si="3"/>
        <v>0</v>
      </c>
      <c r="AA14" s="5">
        <f t="shared" si="3"/>
        <v>0</v>
      </c>
      <c r="AB14" s="5">
        <f t="shared" si="3"/>
        <v>0</v>
      </c>
      <c r="AC14" s="5">
        <f t="shared" si="3"/>
        <v>0</v>
      </c>
      <c r="AD14" s="5">
        <f t="shared" si="3"/>
        <v>0</v>
      </c>
      <c r="AE14" s="5">
        <f t="shared" si="3"/>
        <v>0</v>
      </c>
    </row>
    <row r="15" spans="1:33" x14ac:dyDescent="0.25">
      <c r="A15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3" x14ac:dyDescent="0.25">
      <c r="A16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3" x14ac:dyDescent="0.25">
      <c r="A17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3" x14ac:dyDescent="0.25">
      <c r="A18" t="s">
        <v>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3" x14ac:dyDescent="0.25">
      <c r="A19" t="s">
        <v>58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t="s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3" s="2" customFormat="1" x14ac:dyDescent="0.25">
      <c r="A22" s="2" t="s">
        <v>32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</row>
    <row r="23" spans="1:33" x14ac:dyDescent="0.25">
      <c r="A23" t="s">
        <v>31</v>
      </c>
      <c r="B23" s="1">
        <f t="shared" ref="B23:AE23" si="4">B22*B30</f>
        <v>0</v>
      </c>
      <c r="C23" s="1">
        <f t="shared" si="4"/>
        <v>0</v>
      </c>
      <c r="D23" s="1">
        <f t="shared" si="4"/>
        <v>0</v>
      </c>
      <c r="E23" s="1">
        <f t="shared" si="4"/>
        <v>0</v>
      </c>
      <c r="F23" s="1">
        <f t="shared" si="4"/>
        <v>0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">
        <f t="shared" si="4"/>
        <v>0</v>
      </c>
      <c r="K23" s="1">
        <f t="shared" si="4"/>
        <v>0</v>
      </c>
      <c r="L23" s="1">
        <f t="shared" si="4"/>
        <v>0</v>
      </c>
      <c r="M23" s="1">
        <f t="shared" si="4"/>
        <v>0</v>
      </c>
      <c r="N23" s="1">
        <f t="shared" si="4"/>
        <v>0</v>
      </c>
      <c r="O23" s="1">
        <f t="shared" si="4"/>
        <v>0</v>
      </c>
      <c r="P23" s="1">
        <f t="shared" si="4"/>
        <v>0</v>
      </c>
      <c r="Q23" s="1">
        <f t="shared" si="4"/>
        <v>0</v>
      </c>
      <c r="R23" s="1">
        <f t="shared" si="4"/>
        <v>0</v>
      </c>
      <c r="S23" s="1">
        <f t="shared" si="4"/>
        <v>0</v>
      </c>
      <c r="T23" s="1">
        <f t="shared" si="4"/>
        <v>0</v>
      </c>
      <c r="U23" s="1">
        <f t="shared" si="4"/>
        <v>0</v>
      </c>
      <c r="V23" s="1">
        <f t="shared" si="4"/>
        <v>0</v>
      </c>
      <c r="W23" s="1">
        <f t="shared" si="4"/>
        <v>0</v>
      </c>
      <c r="X23" s="1">
        <f t="shared" si="4"/>
        <v>0</v>
      </c>
      <c r="Y23" s="1">
        <f t="shared" si="4"/>
        <v>0</v>
      </c>
      <c r="Z23" s="1">
        <f t="shared" si="4"/>
        <v>0</v>
      </c>
      <c r="AA23" s="1">
        <f t="shared" si="4"/>
        <v>0</v>
      </c>
      <c r="AB23" s="1">
        <f t="shared" si="4"/>
        <v>0</v>
      </c>
      <c r="AC23" s="1">
        <f t="shared" si="4"/>
        <v>0</v>
      </c>
      <c r="AD23" s="1">
        <f t="shared" si="4"/>
        <v>0</v>
      </c>
      <c r="AE23" s="1">
        <f t="shared" si="4"/>
        <v>0</v>
      </c>
      <c r="AG23" s="1">
        <f>SUM(B23:AE23)</f>
        <v>0</v>
      </c>
    </row>
    <row r="24" spans="1:3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33" s="8" customFormat="1" x14ac:dyDescent="0.25">
      <c r="A25" s="8" t="s">
        <v>8</v>
      </c>
      <c r="B25" s="9">
        <f t="shared" ref="B25:AE25" si="5">B26</f>
        <v>1756.3839462077012</v>
      </c>
      <c r="C25" s="9">
        <f t="shared" si="5"/>
        <v>82372.927823056292</v>
      </c>
      <c r="D25" s="9">
        <f t="shared" si="5"/>
        <v>96828.895277769465</v>
      </c>
      <c r="E25" s="9">
        <f t="shared" si="5"/>
        <v>71986.78897329059</v>
      </c>
      <c r="F25" s="9">
        <f t="shared" si="5"/>
        <v>94140.015123008459</v>
      </c>
      <c r="G25" s="9">
        <f t="shared" si="5"/>
        <v>97358.879815180087</v>
      </c>
      <c r="H25" s="9">
        <f t="shared" si="5"/>
        <v>100448.77971846495</v>
      </c>
      <c r="I25" s="9">
        <f t="shared" si="5"/>
        <v>103622.86935678698</v>
      </c>
      <c r="J25" s="9">
        <f t="shared" si="5"/>
        <v>106882.68634154001</v>
      </c>
      <c r="K25" s="9">
        <f t="shared" si="5"/>
        <v>110229.7485223143</v>
      </c>
      <c r="L25" s="9">
        <f t="shared" si="5"/>
        <v>113665.54972982114</v>
      </c>
      <c r="M25" s="9">
        <f t="shared" si="5"/>
        <v>117191.55520622812</v>
      </c>
      <c r="N25" s="9">
        <f t="shared" si="5"/>
        <v>120809.19670479339</v>
      </c>
      <c r="O25" s="9">
        <f t="shared" si="5"/>
        <v>124519.86723975471</v>
      </c>
      <c r="P25" s="9">
        <f t="shared" si="5"/>
        <v>128324.91546625897</v>
      </c>
      <c r="Q25" s="9">
        <f t="shared" si="5"/>
        <v>132225.63966963155</v>
      </c>
      <c r="R25" s="9">
        <f t="shared" si="5"/>
        <v>136223.28134137075</v>
      </c>
      <c r="S25" s="9">
        <f t="shared" si="5"/>
        <v>140319.01831894429</v>
      </c>
      <c r="T25" s="9">
        <f t="shared" si="5"/>
        <v>144513.957464651</v>
      </c>
      <c r="U25" s="9">
        <f t="shared" si="5"/>
        <v>148809.12685812576</v>
      </c>
      <c r="V25" s="9">
        <f t="shared" si="5"/>
        <v>153205.4674751242</v>
      </c>
      <c r="W25" s="9">
        <f t="shared" si="5"/>
        <v>157703.82432443817</v>
      </c>
      <c r="X25" s="9">
        <f t="shared" si="5"/>
        <v>162304.93701318197</v>
      </c>
      <c r="Y25" s="9">
        <f t="shared" si="5"/>
        <v>167009.42970880755</v>
      </c>
      <c r="Z25" s="9">
        <f t="shared" si="5"/>
        <v>171817.80046541689</v>
      </c>
      <c r="AA25" s="9">
        <f t="shared" si="5"/>
        <v>176730.40987962528</v>
      </c>
      <c r="AB25" s="9">
        <f t="shared" si="5"/>
        <v>181747.46903951321</v>
      </c>
      <c r="AC25" s="9">
        <f t="shared" si="5"/>
        <v>186869.02672941834</v>
      </c>
      <c r="AD25" s="9">
        <f t="shared" si="5"/>
        <v>192094.95584956405</v>
      </c>
      <c r="AE25" s="9">
        <f t="shared" si="5"/>
        <v>197424.93900960727</v>
      </c>
      <c r="AG25" s="9">
        <f>SUM(B25:AE25)</f>
        <v>3919138.3423918965</v>
      </c>
    </row>
    <row r="26" spans="1:33" x14ac:dyDescent="0.25">
      <c r="A26" t="s">
        <v>28</v>
      </c>
      <c r="B26" s="1">
        <f t="shared" ref="B26:AE26" si="6">B32*B30</f>
        <v>1756.3839462077012</v>
      </c>
      <c r="C26" s="1">
        <f t="shared" si="6"/>
        <v>82372.927823056292</v>
      </c>
      <c r="D26" s="1">
        <f t="shared" si="6"/>
        <v>96828.895277769465</v>
      </c>
      <c r="E26" s="1">
        <f t="shared" si="6"/>
        <v>71986.78897329059</v>
      </c>
      <c r="F26" s="1">
        <f t="shared" si="6"/>
        <v>94140.015123008459</v>
      </c>
      <c r="G26" s="1">
        <f t="shared" si="6"/>
        <v>97358.879815180087</v>
      </c>
      <c r="H26" s="1">
        <f t="shared" si="6"/>
        <v>100448.77971846495</v>
      </c>
      <c r="I26" s="1">
        <f t="shared" si="6"/>
        <v>103622.86935678698</v>
      </c>
      <c r="J26" s="1">
        <f t="shared" si="6"/>
        <v>106882.68634154001</v>
      </c>
      <c r="K26" s="1">
        <f t="shared" si="6"/>
        <v>110229.7485223143</v>
      </c>
      <c r="L26" s="1">
        <f t="shared" si="6"/>
        <v>113665.54972982114</v>
      </c>
      <c r="M26" s="1">
        <f t="shared" si="6"/>
        <v>117191.55520622812</v>
      </c>
      <c r="N26" s="1">
        <f t="shared" si="6"/>
        <v>120809.19670479339</v>
      </c>
      <c r="O26" s="1">
        <f t="shared" si="6"/>
        <v>124519.86723975471</v>
      </c>
      <c r="P26" s="1">
        <f t="shared" si="6"/>
        <v>128324.91546625897</v>
      </c>
      <c r="Q26" s="1">
        <f t="shared" si="6"/>
        <v>132225.63966963155</v>
      </c>
      <c r="R26" s="1">
        <f t="shared" si="6"/>
        <v>136223.28134137075</v>
      </c>
      <c r="S26" s="1">
        <f t="shared" si="6"/>
        <v>140319.01831894429</v>
      </c>
      <c r="T26" s="1">
        <f t="shared" si="6"/>
        <v>144513.957464651</v>
      </c>
      <c r="U26" s="1">
        <f t="shared" si="6"/>
        <v>148809.12685812576</v>
      </c>
      <c r="V26" s="1">
        <f t="shared" si="6"/>
        <v>153205.4674751242</v>
      </c>
      <c r="W26" s="1">
        <f t="shared" si="6"/>
        <v>157703.82432443817</v>
      </c>
      <c r="X26" s="1">
        <f t="shared" si="6"/>
        <v>162304.93701318197</v>
      </c>
      <c r="Y26" s="1">
        <f t="shared" si="6"/>
        <v>167009.42970880755</v>
      </c>
      <c r="Z26" s="1">
        <f t="shared" si="6"/>
        <v>171817.80046541689</v>
      </c>
      <c r="AA26" s="1">
        <f t="shared" si="6"/>
        <v>176730.40987962528</v>
      </c>
      <c r="AB26" s="1">
        <f t="shared" si="6"/>
        <v>181747.46903951321</v>
      </c>
      <c r="AC26" s="1">
        <f t="shared" si="6"/>
        <v>186869.02672941834</v>
      </c>
      <c r="AD26" s="1">
        <f t="shared" si="6"/>
        <v>192094.95584956405</v>
      </c>
      <c r="AE26" s="1">
        <f t="shared" si="6"/>
        <v>197424.93900960727</v>
      </c>
    </row>
    <row r="27" spans="1:3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3" s="2" customFormat="1" x14ac:dyDescent="0.25">
      <c r="A28" s="2" t="s">
        <v>61</v>
      </c>
      <c r="B28" s="3">
        <f>'E.Profil Data'!B3</f>
        <v>389.94</v>
      </c>
      <c r="C28" s="3">
        <f>'E.Profil Data'!C3</f>
        <v>19402.55</v>
      </c>
      <c r="D28" s="3">
        <f>'E.Profil Data'!D3</f>
        <v>20050.009999999998</v>
      </c>
      <c r="E28" s="3">
        <f>'E.Profil Data'!E3</f>
        <v>19296.5</v>
      </c>
      <c r="F28" s="3">
        <f>'E.Profil Data'!F3</f>
        <v>19473</v>
      </c>
      <c r="G28" s="3">
        <f>'E.Profil Data'!$H$3</f>
        <v>19516.769999999997</v>
      </c>
      <c r="H28" s="3">
        <f>'E.Profil Data'!$H$3</f>
        <v>19516.769999999997</v>
      </c>
      <c r="I28" s="3">
        <f>'E.Profil Data'!$H$3</f>
        <v>19516.769999999997</v>
      </c>
      <c r="J28" s="3">
        <f>'E.Profil Data'!$H$3</f>
        <v>19516.769999999997</v>
      </c>
      <c r="K28" s="3">
        <f>'E.Profil Data'!$H$3</f>
        <v>19516.769999999997</v>
      </c>
      <c r="L28" s="3">
        <f>'E.Profil Data'!$H$3</f>
        <v>19516.769999999997</v>
      </c>
      <c r="M28" s="3">
        <f>'E.Profil Data'!$H$3</f>
        <v>19516.769999999997</v>
      </c>
      <c r="N28" s="3">
        <f>'E.Profil Data'!$H$3</f>
        <v>19516.769999999997</v>
      </c>
      <c r="O28" s="3">
        <f>'E.Profil Data'!$H$3</f>
        <v>19516.769999999997</v>
      </c>
      <c r="P28" s="3">
        <f>'E.Profil Data'!$H$3</f>
        <v>19516.769999999997</v>
      </c>
      <c r="Q28" s="3">
        <f>'E.Profil Data'!$H$3</f>
        <v>19516.769999999997</v>
      </c>
      <c r="R28" s="3">
        <f>'E.Profil Data'!$H$3</f>
        <v>19516.769999999997</v>
      </c>
      <c r="S28" s="3">
        <f>'E.Profil Data'!$H$3</f>
        <v>19516.769999999997</v>
      </c>
      <c r="T28" s="3">
        <f>'E.Profil Data'!$H$3</f>
        <v>19516.769999999997</v>
      </c>
      <c r="U28" s="3">
        <f>'E.Profil Data'!$H$3</f>
        <v>19516.769999999997</v>
      </c>
      <c r="V28" s="3">
        <f>'E.Profil Data'!$H$3</f>
        <v>19516.769999999997</v>
      </c>
      <c r="W28" s="3">
        <f>'E.Profil Data'!$H$3</f>
        <v>19516.769999999997</v>
      </c>
      <c r="X28" s="3">
        <f>'E.Profil Data'!$H$3</f>
        <v>19516.769999999997</v>
      </c>
      <c r="Y28" s="3">
        <f>'E.Profil Data'!$H$3</f>
        <v>19516.769999999997</v>
      </c>
      <c r="Z28" s="3">
        <f>'E.Profil Data'!$H$3</f>
        <v>19516.769999999997</v>
      </c>
      <c r="AA28" s="3">
        <f>'E.Profil Data'!$H$3</f>
        <v>19516.769999999997</v>
      </c>
      <c r="AB28" s="3">
        <f>'E.Profil Data'!$H$3</f>
        <v>19516.769999999997</v>
      </c>
      <c r="AC28" s="3">
        <f>'E.Profil Data'!$H$3</f>
        <v>19516.769999999997</v>
      </c>
      <c r="AD28" s="3">
        <f>'E.Profil Data'!$H$3</f>
        <v>19516.769999999997</v>
      </c>
      <c r="AE28" s="3">
        <f>'E.Profil Data'!$H$3</f>
        <v>19516.769999999997</v>
      </c>
    </row>
    <row r="29" spans="1:33" s="37" customFormat="1" x14ac:dyDescent="0.25">
      <c r="A29" s="37" t="s">
        <v>27</v>
      </c>
      <c r="B29" s="37">
        <v>0</v>
      </c>
      <c r="C29" s="37">
        <v>0.01</v>
      </c>
      <c r="D29" s="37">
        <v>0.02</v>
      </c>
      <c r="E29" s="37">
        <v>0.03</v>
      </c>
      <c r="F29" s="37">
        <v>0.04</v>
      </c>
      <c r="G29" s="37">
        <v>0.05</v>
      </c>
      <c r="H29" s="37">
        <v>0.06</v>
      </c>
      <c r="I29" s="37">
        <v>7.0000000000000007E-2</v>
      </c>
      <c r="J29" s="37">
        <v>0.08</v>
      </c>
      <c r="K29" s="37">
        <v>0.09</v>
      </c>
      <c r="L29" s="37">
        <v>0.1</v>
      </c>
      <c r="M29" s="37">
        <v>0.11</v>
      </c>
      <c r="N29" s="37">
        <v>0.12</v>
      </c>
      <c r="O29" s="37">
        <v>0.13</v>
      </c>
      <c r="P29" s="37">
        <v>0.14000000000000001</v>
      </c>
      <c r="Q29" s="37">
        <v>0.15</v>
      </c>
      <c r="R29" s="37">
        <v>0.16</v>
      </c>
      <c r="S29" s="37">
        <v>0.17</v>
      </c>
      <c r="T29" s="37">
        <v>0.18</v>
      </c>
      <c r="U29" s="37">
        <v>0.19</v>
      </c>
      <c r="V29" s="37">
        <v>0.2</v>
      </c>
      <c r="W29" s="37">
        <v>0.21</v>
      </c>
      <c r="X29" s="37">
        <v>0.22</v>
      </c>
      <c r="Y29" s="37">
        <v>0.23</v>
      </c>
      <c r="Z29" s="37">
        <v>0.24</v>
      </c>
      <c r="AA29" s="37">
        <v>0.25</v>
      </c>
      <c r="AB29" s="37">
        <v>0.26</v>
      </c>
      <c r="AC29" s="37">
        <v>0.27</v>
      </c>
      <c r="AD29" s="37">
        <v>0.28000000000000003</v>
      </c>
      <c r="AE29" s="37">
        <v>0.28999999999999998</v>
      </c>
    </row>
    <row r="30" spans="1:33" s="2" customFormat="1" x14ac:dyDescent="0.25">
      <c r="A30" s="2" t="s">
        <v>63</v>
      </c>
      <c r="B30" s="3">
        <f t="shared" ref="B30:AE30" si="7">B28-B28*B29</f>
        <v>389.94</v>
      </c>
      <c r="C30" s="3">
        <f t="shared" si="7"/>
        <v>19208.5245</v>
      </c>
      <c r="D30" s="3">
        <f t="shared" si="7"/>
        <v>19649.0098</v>
      </c>
      <c r="E30" s="3">
        <f t="shared" si="7"/>
        <v>18717.605</v>
      </c>
      <c r="F30" s="3">
        <f t="shared" si="7"/>
        <v>18694.080000000002</v>
      </c>
      <c r="G30" s="3">
        <f t="shared" si="7"/>
        <v>18540.931499999999</v>
      </c>
      <c r="H30" s="3">
        <f t="shared" si="7"/>
        <v>18345.763799999997</v>
      </c>
      <c r="I30" s="3">
        <f t="shared" si="7"/>
        <v>18150.596099999995</v>
      </c>
      <c r="J30" s="3">
        <f t="shared" si="7"/>
        <v>17955.428399999997</v>
      </c>
      <c r="K30" s="3">
        <f t="shared" si="7"/>
        <v>17760.260699999999</v>
      </c>
      <c r="L30" s="3">
        <f t="shared" si="7"/>
        <v>17565.092999999997</v>
      </c>
      <c r="M30" s="3">
        <f t="shared" si="7"/>
        <v>17369.925299999995</v>
      </c>
      <c r="N30" s="3">
        <f t="shared" si="7"/>
        <v>17174.757599999997</v>
      </c>
      <c r="O30" s="3">
        <f t="shared" si="7"/>
        <v>16979.589899999999</v>
      </c>
      <c r="P30" s="3">
        <f t="shared" si="7"/>
        <v>16784.422199999997</v>
      </c>
      <c r="Q30" s="3">
        <f t="shared" si="7"/>
        <v>16589.254499999995</v>
      </c>
      <c r="R30" s="3">
        <f t="shared" si="7"/>
        <v>16394.086799999997</v>
      </c>
      <c r="S30" s="3">
        <f t="shared" si="7"/>
        <v>16198.919099999997</v>
      </c>
      <c r="T30" s="3">
        <f t="shared" si="7"/>
        <v>16003.751399999997</v>
      </c>
      <c r="U30" s="3">
        <f t="shared" si="7"/>
        <v>15808.583699999997</v>
      </c>
      <c r="V30" s="3">
        <f t="shared" si="7"/>
        <v>15613.415999999997</v>
      </c>
      <c r="W30" s="3">
        <f t="shared" si="7"/>
        <v>15418.248299999997</v>
      </c>
      <c r="X30" s="3">
        <f t="shared" si="7"/>
        <v>15223.080599999998</v>
      </c>
      <c r="Y30" s="3">
        <f t="shared" si="7"/>
        <v>15027.912899999998</v>
      </c>
      <c r="Z30" s="3">
        <f t="shared" si="7"/>
        <v>14832.745199999998</v>
      </c>
      <c r="AA30" s="3">
        <f t="shared" si="7"/>
        <v>14637.577499999998</v>
      </c>
      <c r="AB30" s="3">
        <f t="shared" si="7"/>
        <v>14442.409799999998</v>
      </c>
      <c r="AC30" s="3">
        <f t="shared" si="7"/>
        <v>14247.242099999998</v>
      </c>
      <c r="AD30" s="3">
        <f t="shared" si="7"/>
        <v>14052.074399999998</v>
      </c>
      <c r="AE30" s="3">
        <f t="shared" si="7"/>
        <v>13856.906699999998</v>
      </c>
    </row>
    <row r="31" spans="1:33" s="2" customFormat="1" x14ac:dyDescent="0.25">
      <c r="A31" s="2" t="s">
        <v>78</v>
      </c>
      <c r="B31" s="37">
        <f t="shared" ref="B31:AE31" si="8">B30/365</f>
        <v>1.0683287671232877</v>
      </c>
      <c r="C31" s="37">
        <f t="shared" si="8"/>
        <v>52.626094520547944</v>
      </c>
      <c r="D31" s="37">
        <f t="shared" si="8"/>
        <v>53.832903561643832</v>
      </c>
      <c r="E31" s="37">
        <f t="shared" si="8"/>
        <v>51.281109589041094</v>
      </c>
      <c r="F31" s="37">
        <f t="shared" si="8"/>
        <v>51.216657534246579</v>
      </c>
      <c r="G31" s="37">
        <f t="shared" si="8"/>
        <v>50.797072602739725</v>
      </c>
      <c r="H31" s="37">
        <f t="shared" si="8"/>
        <v>50.262366575342455</v>
      </c>
      <c r="I31" s="37">
        <f t="shared" si="8"/>
        <v>49.727660547945192</v>
      </c>
      <c r="J31" s="37">
        <f t="shared" si="8"/>
        <v>49.192954520547936</v>
      </c>
      <c r="K31" s="37">
        <f t="shared" si="8"/>
        <v>48.65824849315068</v>
      </c>
      <c r="L31" s="37">
        <f t="shared" si="8"/>
        <v>48.123542465753417</v>
      </c>
      <c r="M31" s="37">
        <f t="shared" si="8"/>
        <v>47.588836438356154</v>
      </c>
      <c r="N31" s="37">
        <f t="shared" si="8"/>
        <v>47.054130410958898</v>
      </c>
      <c r="O31" s="37">
        <f t="shared" si="8"/>
        <v>46.519424383561642</v>
      </c>
      <c r="P31" s="37">
        <f t="shared" si="8"/>
        <v>45.984718356164379</v>
      </c>
      <c r="Q31" s="37">
        <f t="shared" si="8"/>
        <v>45.450012328767109</v>
      </c>
      <c r="R31" s="37">
        <f t="shared" si="8"/>
        <v>44.915306301369853</v>
      </c>
      <c r="S31" s="37">
        <f t="shared" si="8"/>
        <v>44.380600273972597</v>
      </c>
      <c r="T31" s="37">
        <f t="shared" si="8"/>
        <v>43.845894246575334</v>
      </c>
      <c r="U31" s="37">
        <f t="shared" si="8"/>
        <v>43.311188219178078</v>
      </c>
      <c r="V31" s="37">
        <f t="shared" si="8"/>
        <v>42.776482191780815</v>
      </c>
      <c r="W31" s="37">
        <f t="shared" si="8"/>
        <v>42.241776164383552</v>
      </c>
      <c r="X31" s="37">
        <f t="shared" si="8"/>
        <v>41.707070136986296</v>
      </c>
      <c r="Y31" s="37">
        <f t="shared" si="8"/>
        <v>41.172364109589033</v>
      </c>
      <c r="Z31" s="37">
        <f t="shared" si="8"/>
        <v>40.637658082191777</v>
      </c>
      <c r="AA31" s="37">
        <f t="shared" si="8"/>
        <v>40.102952054794514</v>
      </c>
      <c r="AB31" s="37">
        <f t="shared" si="8"/>
        <v>39.568246027397251</v>
      </c>
      <c r="AC31" s="37">
        <f t="shared" si="8"/>
        <v>39.033539999999995</v>
      </c>
      <c r="AD31" s="37">
        <f t="shared" si="8"/>
        <v>38.498833972602732</v>
      </c>
      <c r="AE31" s="37">
        <f t="shared" si="8"/>
        <v>37.964127945205476</v>
      </c>
    </row>
    <row r="32" spans="1:33" s="2" customFormat="1" x14ac:dyDescent="0.25">
      <c r="A32" s="2" t="s">
        <v>62</v>
      </c>
      <c r="B32" s="36">
        <v>4.5042415402567091</v>
      </c>
      <c r="C32" s="36">
        <v>4.2883526958593983</v>
      </c>
      <c r="D32" s="36">
        <v>4.9279274764150944</v>
      </c>
      <c r="E32" s="36">
        <v>3.8459401709401706</v>
      </c>
      <c r="F32" s="36">
        <v>5.035819635039994</v>
      </c>
      <c r="G32" s="36">
        <v>5.2510241901913126</v>
      </c>
      <c r="H32" s="36">
        <v>5.4753119474079881</v>
      </c>
      <c r="I32" s="36">
        <v>5.7090614978087144</v>
      </c>
      <c r="J32" s="36">
        <v>5.9526670130321166</v>
      </c>
      <c r="K32" s="36">
        <v>6.2065388782448618</v>
      </c>
      <c r="L32" s="36">
        <v>6.4711043505332517</v>
      </c>
      <c r="M32" s="36">
        <v>6.7468082436847414</v>
      </c>
      <c r="N32" s="36">
        <v>7.0341136404040663</v>
      </c>
      <c r="O32" s="36">
        <v>7.3335026330497364</v>
      </c>
      <c r="P32" s="36">
        <v>7.6454770940079779</v>
      </c>
      <c r="Q32" s="36">
        <v>7.9705594768970238</v>
      </c>
      <c r="R32" s="36">
        <v>8.309293649791508</v>
      </c>
      <c r="S32" s="36">
        <v>8.6622457617523576</v>
      </c>
      <c r="T32" s="36">
        <v>9.0300051439596238</v>
      </c>
      <c r="U32" s="36">
        <v>9.4131852468305421</v>
      </c>
      <c r="V32" s="36">
        <v>9.8124246145189638</v>
      </c>
      <c r="W32" s="36">
        <v>10.228387898282724</v>
      </c>
      <c r="X32" s="36">
        <v>10.661766910252187</v>
      </c>
      <c r="Y32" s="36">
        <v>11.113281719167242</v>
      </c>
      <c r="Z32" s="36">
        <v>11.583681789761812</v>
      </c>
      <c r="AA32" s="36">
        <v>12.073747167495805</v>
      </c>
      <c r="AB32" s="36">
        <v>12.584289710399524</v>
      </c>
      <c r="AC32" s="36">
        <v>13.1161543699337</v>
      </c>
      <c r="AD32" s="36">
        <v>13.670220522712581</v>
      </c>
      <c r="AE32" s="36">
        <v>14.247403355151933</v>
      </c>
    </row>
    <row r="33" spans="1:33" s="2" customForma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3" s="10" customFormat="1" x14ac:dyDescent="0.25">
      <c r="A34" s="10" t="s">
        <v>7</v>
      </c>
      <c r="B34" s="11">
        <f t="shared" ref="B34:AE34" si="9">B25-B4</f>
        <v>-752943.6160537923</v>
      </c>
      <c r="C34" s="11">
        <f t="shared" si="9"/>
        <v>82372.927823056292</v>
      </c>
      <c r="D34" s="11">
        <f t="shared" si="9"/>
        <v>96828.895277769465</v>
      </c>
      <c r="E34" s="11">
        <f t="shared" si="9"/>
        <v>71986.78897329059</v>
      </c>
      <c r="F34" s="11">
        <f t="shared" si="9"/>
        <v>94140.015123008459</v>
      </c>
      <c r="G34" s="11">
        <f t="shared" si="9"/>
        <v>97358.879815180087</v>
      </c>
      <c r="H34" s="11">
        <f t="shared" si="9"/>
        <v>100448.77971846495</v>
      </c>
      <c r="I34" s="11">
        <f t="shared" si="9"/>
        <v>103622.86935678698</v>
      </c>
      <c r="J34" s="11">
        <f t="shared" si="9"/>
        <v>106882.68634154001</v>
      </c>
      <c r="K34" s="11">
        <f t="shared" si="9"/>
        <v>110229.7485223143</v>
      </c>
      <c r="L34" s="11">
        <f t="shared" si="9"/>
        <v>113665.54972982114</v>
      </c>
      <c r="M34" s="11">
        <f t="shared" si="9"/>
        <v>117191.55520622812</v>
      </c>
      <c r="N34" s="11">
        <f t="shared" si="9"/>
        <v>120809.19670479339</v>
      </c>
      <c r="O34" s="11">
        <f t="shared" si="9"/>
        <v>124519.86723975471</v>
      </c>
      <c r="P34" s="11">
        <f t="shared" si="9"/>
        <v>128324.91546625897</v>
      </c>
      <c r="Q34" s="11">
        <f t="shared" si="9"/>
        <v>132225.63966963155</v>
      </c>
      <c r="R34" s="11">
        <f t="shared" si="9"/>
        <v>136223.28134137075</v>
      </c>
      <c r="S34" s="11">
        <f t="shared" si="9"/>
        <v>140319.01831894429</v>
      </c>
      <c r="T34" s="11">
        <f t="shared" si="9"/>
        <v>144513.957464651</v>
      </c>
      <c r="U34" s="11">
        <f t="shared" si="9"/>
        <v>148809.12685812576</v>
      </c>
      <c r="V34" s="11">
        <f t="shared" si="9"/>
        <v>153205.4674751242</v>
      </c>
      <c r="W34" s="11">
        <f t="shared" si="9"/>
        <v>157703.82432443817</v>
      </c>
      <c r="X34" s="11">
        <f t="shared" si="9"/>
        <v>162304.93701318197</v>
      </c>
      <c r="Y34" s="11">
        <f t="shared" si="9"/>
        <v>167009.42970880755</v>
      </c>
      <c r="Z34" s="11">
        <f t="shared" si="9"/>
        <v>171817.80046541689</v>
      </c>
      <c r="AA34" s="11">
        <f t="shared" si="9"/>
        <v>176730.40987962528</v>
      </c>
      <c r="AB34" s="11">
        <f t="shared" si="9"/>
        <v>181747.46903951321</v>
      </c>
      <c r="AC34" s="11">
        <f t="shared" si="9"/>
        <v>186869.02672941834</v>
      </c>
      <c r="AD34" s="11">
        <f t="shared" si="9"/>
        <v>192094.95584956405</v>
      </c>
      <c r="AE34" s="11">
        <f t="shared" si="9"/>
        <v>197424.93900960727</v>
      </c>
    </row>
    <row r="35" spans="1:33" s="10" customFormat="1" x14ac:dyDescent="0.25">
      <c r="A35" s="10" t="s">
        <v>89</v>
      </c>
      <c r="B35" s="11">
        <f>B34</f>
        <v>-752943.6160537923</v>
      </c>
      <c r="C35" s="11">
        <f>B35+C34</f>
        <v>-670570.68823073595</v>
      </c>
      <c r="D35" s="11">
        <f t="shared" ref="D35:AE35" si="10">C35+D34</f>
        <v>-573741.79295296653</v>
      </c>
      <c r="E35" s="11">
        <f t="shared" si="10"/>
        <v>-501755.00397967594</v>
      </c>
      <c r="F35" s="11">
        <f t="shared" si="10"/>
        <v>-407614.98885666748</v>
      </c>
      <c r="G35" s="11">
        <f t="shared" si="10"/>
        <v>-310256.10904148739</v>
      </c>
      <c r="H35" s="11">
        <f t="shared" si="10"/>
        <v>-209807.32932302245</v>
      </c>
      <c r="I35" s="11">
        <f t="shared" si="10"/>
        <v>-106184.45996623547</v>
      </c>
      <c r="J35" s="11">
        <f t="shared" si="10"/>
        <v>698.22637530454085</v>
      </c>
      <c r="K35" s="11">
        <f t="shared" si="10"/>
        <v>110927.97489761884</v>
      </c>
      <c r="L35" s="11">
        <f t="shared" si="10"/>
        <v>224593.52462743997</v>
      </c>
      <c r="M35" s="11">
        <f t="shared" si="10"/>
        <v>341785.07983366807</v>
      </c>
      <c r="N35" s="11">
        <f t="shared" si="10"/>
        <v>462594.27653846145</v>
      </c>
      <c r="O35" s="11">
        <f t="shared" si="10"/>
        <v>587114.14377821609</v>
      </c>
      <c r="P35" s="11">
        <f t="shared" si="10"/>
        <v>715439.05924447509</v>
      </c>
      <c r="Q35" s="11">
        <f t="shared" si="10"/>
        <v>847664.6989141067</v>
      </c>
      <c r="R35" s="11">
        <f t="shared" si="10"/>
        <v>983887.98025547748</v>
      </c>
      <c r="S35" s="11">
        <f t="shared" si="10"/>
        <v>1124206.9985744217</v>
      </c>
      <c r="T35" s="11">
        <f t="shared" si="10"/>
        <v>1268720.9560390727</v>
      </c>
      <c r="U35" s="11">
        <f t="shared" si="10"/>
        <v>1417530.0828971984</v>
      </c>
      <c r="V35" s="11">
        <f t="shared" si="10"/>
        <v>1570735.5503723226</v>
      </c>
      <c r="W35" s="11">
        <f t="shared" si="10"/>
        <v>1728439.3746967607</v>
      </c>
      <c r="X35" s="11">
        <f t="shared" si="10"/>
        <v>1890744.3117099428</v>
      </c>
      <c r="Y35" s="11">
        <f t="shared" si="10"/>
        <v>2057753.7414187503</v>
      </c>
      <c r="Z35" s="11">
        <f t="shared" si="10"/>
        <v>2229571.5418841671</v>
      </c>
      <c r="AA35" s="11">
        <f t="shared" si="10"/>
        <v>2406301.9517637924</v>
      </c>
      <c r="AB35" s="11">
        <f t="shared" si="10"/>
        <v>2588049.4208033057</v>
      </c>
      <c r="AC35" s="11">
        <f t="shared" si="10"/>
        <v>2774918.4475327241</v>
      </c>
      <c r="AD35" s="11">
        <f t="shared" si="10"/>
        <v>2967013.4033822883</v>
      </c>
      <c r="AE35" s="11">
        <f t="shared" si="10"/>
        <v>3164438.3423918956</v>
      </c>
    </row>
    <row r="36" spans="1:33" s="10" customFormat="1" x14ac:dyDescent="0.25">
      <c r="A36" s="10" t="s">
        <v>17</v>
      </c>
      <c r="B36" s="11">
        <f t="shared" ref="B36:AE36" si="11">B34/((1+$B$39)^B2)</f>
        <v>-745488.72876613098</v>
      </c>
      <c r="C36" s="11">
        <f t="shared" si="11"/>
        <v>80749.855723023516</v>
      </c>
      <c r="D36" s="11">
        <f t="shared" si="11"/>
        <v>93981.171791320667</v>
      </c>
      <c r="E36" s="11">
        <f t="shared" si="11"/>
        <v>69177.889265764592</v>
      </c>
      <c r="F36" s="11">
        <f t="shared" si="11"/>
        <v>89570.994220322988</v>
      </c>
      <c r="G36" s="11">
        <f t="shared" si="11"/>
        <v>91716.468839577356</v>
      </c>
      <c r="H36" s="11">
        <f t="shared" si="11"/>
        <v>93690.390416712195</v>
      </c>
      <c r="I36" s="11">
        <f t="shared" si="11"/>
        <v>95693.981316469275</v>
      </c>
      <c r="J36" s="11">
        <f t="shared" si="11"/>
        <v>97727.096643813435</v>
      </c>
      <c r="K36" s="11">
        <f t="shared" si="11"/>
        <v>99789.553356339267</v>
      </c>
      <c r="L36" s="11">
        <f t="shared" si="11"/>
        <v>101881.12808753825</v>
      </c>
      <c r="M36" s="11">
        <f t="shared" si="11"/>
        <v>104001.55487538563</v>
      </c>
      <c r="N36" s="11">
        <f t="shared" si="11"/>
        <v>106150.52279264796</v>
      </c>
      <c r="O36" s="11">
        <f t="shared" si="11"/>
        <v>108327.67347518879</v>
      </c>
      <c r="P36" s="11">
        <f t="shared" si="11"/>
        <v>110532.5985442583</v>
      </c>
      <c r="Q36" s="11">
        <f t="shared" si="11"/>
        <v>112764.83691909266</v>
      </c>
      <c r="R36" s="11">
        <f t="shared" si="11"/>
        <v>115023.87201528103</v>
      </c>
      <c r="S36" s="11">
        <f t="shared" si="11"/>
        <v>117309.12882493205</v>
      </c>
      <c r="T36" s="11">
        <f t="shared" si="11"/>
        <v>119619.970873981</v>
      </c>
      <c r="U36" s="11">
        <f t="shared" si="11"/>
        <v>121955.69705229808</v>
      </c>
      <c r="V36" s="11">
        <f t="shared" si="11"/>
        <v>124315.53831156279</v>
      </c>
      <c r="W36" s="11">
        <f t="shared" si="11"/>
        <v>126698.65422619111</v>
      </c>
      <c r="X36" s="11">
        <f t="shared" si="11"/>
        <v>129104.12941227498</v>
      </c>
      <c r="Y36" s="11">
        <f t="shared" si="11"/>
        <v>131530.96979900973</v>
      </c>
      <c r="Z36" s="11">
        <f t="shared" si="11"/>
        <v>133978.09874753465</v>
      </c>
      <c r="AA36" s="11">
        <f t="shared" si="11"/>
        <v>136444.3530113748</v>
      </c>
      <c r="AB36" s="11">
        <f t="shared" si="11"/>
        <v>138928.47853249888</v>
      </c>
      <c r="AC36" s="11">
        <f t="shared" si="11"/>
        <v>141429.12606758825</v>
      </c>
      <c r="AD36" s="11">
        <f t="shared" si="11"/>
        <v>143944.84663745831</v>
      </c>
      <c r="AE36" s="11">
        <f t="shared" si="11"/>
        <v>146474.08679395283</v>
      </c>
    </row>
    <row r="37" spans="1:33" s="10" customFormat="1" x14ac:dyDescent="0.25">
      <c r="A37" s="10" t="s">
        <v>90</v>
      </c>
      <c r="B37" s="11">
        <f>B36</f>
        <v>-745488.72876613098</v>
      </c>
      <c r="C37" s="11">
        <f>B37+C36</f>
        <v>-664738.87304310745</v>
      </c>
      <c r="D37" s="11">
        <f t="shared" ref="D37" si="12">C37+D36</f>
        <v>-570757.70125178678</v>
      </c>
      <c r="E37" s="11">
        <f t="shared" ref="E37" si="13">D37+E36</f>
        <v>-501579.81198602216</v>
      </c>
      <c r="F37" s="11">
        <f t="shared" ref="F37" si="14">E37+F36</f>
        <v>-412008.81776569918</v>
      </c>
      <c r="G37" s="11">
        <f t="shared" ref="G37" si="15">F37+G36</f>
        <v>-320292.34892612183</v>
      </c>
      <c r="H37" s="11">
        <f t="shared" ref="H37" si="16">G37+H36</f>
        <v>-226601.95850940963</v>
      </c>
      <c r="I37" s="11">
        <f t="shared" ref="I37" si="17">H37+I36</f>
        <v>-130907.97719294035</v>
      </c>
      <c r="J37" s="11">
        <f t="shared" ref="J37" si="18">I37+J36</f>
        <v>-33180.880549126916</v>
      </c>
      <c r="K37" s="11">
        <f t="shared" ref="K37" si="19">J37+K36</f>
        <v>66608.672807212351</v>
      </c>
      <c r="L37" s="11">
        <f t="shared" ref="L37" si="20">K37+L36</f>
        <v>168489.8008947506</v>
      </c>
      <c r="M37" s="11">
        <f t="shared" ref="M37" si="21">L37+M36</f>
        <v>272491.35577013623</v>
      </c>
      <c r="N37" s="11">
        <f t="shared" ref="N37" si="22">M37+N36</f>
        <v>378641.87856278417</v>
      </c>
      <c r="O37" s="11">
        <f t="shared" ref="O37" si="23">N37+O36</f>
        <v>486969.55203797296</v>
      </c>
      <c r="P37" s="11">
        <f t="shared" ref="P37" si="24">O37+P36</f>
        <v>597502.15058223123</v>
      </c>
      <c r="Q37" s="11">
        <f t="shared" ref="Q37:AE37" si="25">P37+Q36</f>
        <v>710266.98750132392</v>
      </c>
      <c r="R37" s="11">
        <f t="shared" si="25"/>
        <v>825290.85951660492</v>
      </c>
      <c r="S37" s="11">
        <f t="shared" si="25"/>
        <v>942599.98834153695</v>
      </c>
      <c r="T37" s="11">
        <f t="shared" si="25"/>
        <v>1062219.9592155179</v>
      </c>
      <c r="U37" s="11">
        <f t="shared" si="25"/>
        <v>1184175.656267816</v>
      </c>
      <c r="V37" s="11">
        <f t="shared" si="25"/>
        <v>1308491.1945793787</v>
      </c>
      <c r="W37" s="11">
        <f t="shared" si="25"/>
        <v>1435189.8488055698</v>
      </c>
      <c r="X37" s="11">
        <f t="shared" si="25"/>
        <v>1564293.9782178449</v>
      </c>
      <c r="Y37" s="11">
        <f t="shared" si="25"/>
        <v>1695824.9480168545</v>
      </c>
      <c r="Z37" s="11">
        <f t="shared" si="25"/>
        <v>1829803.0467643891</v>
      </c>
      <c r="AA37" s="11">
        <f t="shared" si="25"/>
        <v>1966247.399775764</v>
      </c>
      <c r="AB37" s="11">
        <f t="shared" si="25"/>
        <v>2105175.8783082627</v>
      </c>
      <c r="AC37" s="11">
        <f t="shared" si="25"/>
        <v>2246605.0043758508</v>
      </c>
      <c r="AD37" s="11">
        <f t="shared" si="25"/>
        <v>2390549.8510133093</v>
      </c>
      <c r="AE37" s="11">
        <f t="shared" si="25"/>
        <v>2537023.9378072619</v>
      </c>
    </row>
    <row r="38" spans="1:33" s="10" customFormat="1" x14ac:dyDescent="0.25">
      <c r="A38" s="10" t="s">
        <v>18</v>
      </c>
      <c r="B38" s="38" t="s">
        <v>29</v>
      </c>
      <c r="C38" s="18">
        <f>IRR(B36:C36)</f>
        <v>-0.89168198980462954</v>
      </c>
      <c r="D38" s="18">
        <f>IRR($B36:D36)</f>
        <v>-0.58667568394950098</v>
      </c>
      <c r="E38" s="18">
        <f>IRR($B36:E36)</f>
        <v>-0.41063202411326594</v>
      </c>
      <c r="F38" s="18">
        <f>IRR($B36:F36)</f>
        <v>-0.25839029824605475</v>
      </c>
      <c r="G38" s="18">
        <f>IRR($B36:G36)</f>
        <v>-0.16007798623011382</v>
      </c>
      <c r="H38" s="18">
        <f>IRR($B36:H36)</f>
        <v>-9.2823838767866595E-2</v>
      </c>
      <c r="I38" s="18">
        <f>IRR($B36:I36)</f>
        <v>-4.491895694311554E-2</v>
      </c>
      <c r="J38" s="18">
        <f>IRR($B36:J36)</f>
        <v>-9.7054873137288888E-3</v>
      </c>
      <c r="K38" s="18">
        <f>IRR($B36:K36)</f>
        <v>1.6848547629802368E-2</v>
      </c>
      <c r="L38" s="18">
        <f>IRR($B36:L36)</f>
        <v>3.7300243345039785E-2</v>
      </c>
      <c r="M38" s="18">
        <f>IRR($B36:M36)</f>
        <v>5.3333592755419712E-2</v>
      </c>
      <c r="N38" s="18">
        <f>IRR($B36:N36)</f>
        <v>6.6093452618434911E-2</v>
      </c>
      <c r="O38" s="18">
        <f>IRR($B36:O36)</f>
        <v>7.6379678960657005E-2</v>
      </c>
      <c r="P38" s="18">
        <f>IRR($B36:P36)</f>
        <v>8.476446140120486E-2</v>
      </c>
      <c r="Q38" s="18">
        <f>IRR($B36:Q36)</f>
        <v>9.1665667726333444E-2</v>
      </c>
      <c r="R38" s="18">
        <f>IRR($B36:R36)</f>
        <v>9.7394063333916092E-2</v>
      </c>
      <c r="S38" s="18">
        <f>IRR($B36:S36)</f>
        <v>0.10218451393640415</v>
      </c>
      <c r="T38" s="18">
        <f>IRR($B36:T36)</f>
        <v>0.10621708792470597</v>
      </c>
      <c r="U38" s="18">
        <f>IRR($B36:U36)</f>
        <v>0.10963162693957296</v>
      </c>
      <c r="V38" s="18">
        <f>IRR($B36:V36)</f>
        <v>0.1125379958136512</v>
      </c>
      <c r="W38" s="18">
        <f>IRR($B36:W36)</f>
        <v>0.11502341561890117</v>
      </c>
      <c r="X38" s="18">
        <f>IRR($B36:X36)</f>
        <v>0.11715779074635591</v>
      </c>
      <c r="Y38" s="18">
        <f>IRR($B36:Y36)</f>
        <v>0.11899763306022493</v>
      </c>
      <c r="Z38" s="18">
        <f>IRR($B36:Z36)</f>
        <v>0.12058898968016574</v>
      </c>
      <c r="AA38" s="18">
        <f>IRR($B36:AA36)</f>
        <v>0.12196965308670937</v>
      </c>
      <c r="AB38" s="18">
        <f>IRR($B36:AB36)</f>
        <v>0.12317084754538699</v>
      </c>
      <c r="AC38" s="18">
        <f>IRR($B36:AC36)</f>
        <v>0.1242185288074984</v>
      </c>
      <c r="AD38" s="18">
        <f>IRR($B36:AD36)</f>
        <v>0.12513439504769863</v>
      </c>
      <c r="AE38" s="18">
        <f>IRR($B36:AE36)</f>
        <v>0.12593667995810787</v>
      </c>
    </row>
    <row r="39" spans="1:33" x14ac:dyDescent="0.25">
      <c r="A39" t="s">
        <v>15</v>
      </c>
      <c r="B39" s="19">
        <v>0.01</v>
      </c>
      <c r="C39" s="1"/>
      <c r="D39" s="1"/>
      <c r="E39" s="1"/>
      <c r="F39" s="1"/>
      <c r="G39" s="1"/>
      <c r="H39" s="1"/>
      <c r="I39" s="1"/>
    </row>
    <row r="40" spans="1:33" s="78" customFormat="1" ht="18" x14ac:dyDescent="0.35">
      <c r="A40" s="78" t="s">
        <v>134</v>
      </c>
      <c r="B40" s="79">
        <f>0.294*B30</f>
        <v>114.64236</v>
      </c>
      <c r="C40" s="79">
        <f>0.294*C30+B40</f>
        <v>5761.948562999999</v>
      </c>
      <c r="D40" s="79">
        <f t="shared" ref="D40:AE40" si="26">0.294*D30+C40</f>
        <v>11538.757444199999</v>
      </c>
      <c r="E40" s="79">
        <f t="shared" si="26"/>
        <v>17041.733314199999</v>
      </c>
      <c r="F40" s="79">
        <f t="shared" si="26"/>
        <v>22537.792834199998</v>
      </c>
      <c r="G40" s="79">
        <f t="shared" si="26"/>
        <v>27988.826695199998</v>
      </c>
      <c r="H40" s="79">
        <f t="shared" si="26"/>
        <v>33382.481252399994</v>
      </c>
      <c r="I40" s="79">
        <f t="shared" si="26"/>
        <v>38718.756505799989</v>
      </c>
      <c r="J40" s="79">
        <f t="shared" si="26"/>
        <v>43997.652455399992</v>
      </c>
      <c r="K40" s="79">
        <f t="shared" si="26"/>
        <v>49219.169101199994</v>
      </c>
      <c r="L40" s="79">
        <f t="shared" si="26"/>
        <v>54383.306443199996</v>
      </c>
      <c r="M40" s="79">
        <f t="shared" si="26"/>
        <v>59490.064481399997</v>
      </c>
      <c r="N40" s="79">
        <f t="shared" si="26"/>
        <v>64539.443215799998</v>
      </c>
      <c r="O40" s="79">
        <f t="shared" si="26"/>
        <v>69531.442646399999</v>
      </c>
      <c r="P40" s="79">
        <f t="shared" si="26"/>
        <v>74466.062773199999</v>
      </c>
      <c r="Q40" s="79">
        <f t="shared" si="26"/>
        <v>79343.303596199999</v>
      </c>
      <c r="R40" s="79">
        <f t="shared" si="26"/>
        <v>84163.165115399999</v>
      </c>
      <c r="S40" s="79">
        <f t="shared" si="26"/>
        <v>88925.647330799999</v>
      </c>
      <c r="T40" s="79">
        <f t="shared" si="26"/>
        <v>93630.750242399998</v>
      </c>
      <c r="U40" s="79">
        <f t="shared" si="26"/>
        <v>98278.473850199996</v>
      </c>
      <c r="V40" s="79">
        <f t="shared" si="26"/>
        <v>102868.81815419999</v>
      </c>
      <c r="W40" s="79">
        <f t="shared" si="26"/>
        <v>107401.78315439999</v>
      </c>
      <c r="X40" s="79">
        <f t="shared" si="26"/>
        <v>111877.36885079999</v>
      </c>
      <c r="Y40" s="79">
        <f t="shared" si="26"/>
        <v>116295.57524339999</v>
      </c>
      <c r="Z40" s="79">
        <f t="shared" si="26"/>
        <v>120656.40233219998</v>
      </c>
      <c r="AA40" s="79">
        <f t="shared" si="26"/>
        <v>124959.85011719998</v>
      </c>
      <c r="AB40" s="79">
        <f t="shared" si="26"/>
        <v>129205.91859839998</v>
      </c>
      <c r="AC40" s="79">
        <f t="shared" si="26"/>
        <v>133394.60777579999</v>
      </c>
      <c r="AD40" s="79">
        <f t="shared" si="26"/>
        <v>137525.91764939998</v>
      </c>
      <c r="AE40" s="79">
        <f t="shared" si="26"/>
        <v>141599.84821919998</v>
      </c>
      <c r="AG40" s="80"/>
    </row>
    <row r="41" spans="1:33" ht="15.75" thickBot="1" x14ac:dyDescent="0.3">
      <c r="B41" s="1"/>
      <c r="C41" s="1"/>
      <c r="D41" s="1"/>
      <c r="E41" s="1"/>
      <c r="F41" s="1"/>
      <c r="G41" s="1"/>
      <c r="H41" s="1"/>
      <c r="I41" s="1"/>
    </row>
    <row r="42" spans="1:33" x14ac:dyDescent="0.25">
      <c r="B42" s="1"/>
      <c r="C42" s="1"/>
      <c r="D42" s="1"/>
      <c r="E42" s="1"/>
      <c r="F42" s="1"/>
      <c r="G42" s="1"/>
      <c r="H42" s="1"/>
      <c r="I42" s="1"/>
      <c r="P42" s="85" t="s">
        <v>92</v>
      </c>
      <c r="Q42" s="86">
        <f>B2</f>
        <v>1</v>
      </c>
      <c r="R42" s="86">
        <f>F2</f>
        <v>5</v>
      </c>
      <c r="S42" s="86">
        <f>K2</f>
        <v>10</v>
      </c>
      <c r="T42" s="86">
        <f>P2</f>
        <v>15</v>
      </c>
      <c r="U42" s="86">
        <f>U2</f>
        <v>20</v>
      </c>
      <c r="V42" s="86">
        <f>Z2</f>
        <v>25</v>
      </c>
      <c r="W42" s="87">
        <f>AE2</f>
        <v>30</v>
      </c>
    </row>
    <row r="43" spans="1:33" x14ac:dyDescent="0.25">
      <c r="B43" s="1"/>
      <c r="C43" s="1"/>
      <c r="D43" s="1"/>
      <c r="E43" s="1"/>
      <c r="F43" s="1"/>
      <c r="G43" s="1"/>
      <c r="H43" s="1"/>
      <c r="I43" s="1"/>
      <c r="P43" s="88" t="str">
        <f>A34</f>
        <v>Cash Flow</v>
      </c>
      <c r="Q43" s="94">
        <f>B34</f>
        <v>-752943.6160537923</v>
      </c>
      <c r="R43" s="94">
        <f>F34</f>
        <v>94140.015123008459</v>
      </c>
      <c r="S43" s="94">
        <f>K34</f>
        <v>110229.7485223143</v>
      </c>
      <c r="T43" s="94">
        <f>P34</f>
        <v>128324.91546625897</v>
      </c>
      <c r="U43" s="94">
        <f>U34</f>
        <v>148809.12685812576</v>
      </c>
      <c r="V43" s="94">
        <f>Z34</f>
        <v>171817.80046541689</v>
      </c>
      <c r="W43" s="95">
        <f>AE34</f>
        <v>197424.93900960727</v>
      </c>
    </row>
    <row r="44" spans="1:33" x14ac:dyDescent="0.25">
      <c r="B44" s="1"/>
      <c r="C44" s="1"/>
      <c r="D44" s="1"/>
      <c r="E44" s="1"/>
      <c r="F44" s="1"/>
      <c r="G44" s="1"/>
      <c r="H44" s="1"/>
      <c r="I44" s="1"/>
      <c r="P44" s="88" t="s">
        <v>85</v>
      </c>
      <c r="Q44" s="94">
        <f t="shared" ref="Q44:Q47" si="27">B35</f>
        <v>-752943.6160537923</v>
      </c>
      <c r="R44" s="94">
        <f t="shared" ref="R44:R47" si="28">F35</f>
        <v>-407614.98885666748</v>
      </c>
      <c r="S44" s="94">
        <f t="shared" ref="S44:S47" si="29">K35</f>
        <v>110927.97489761884</v>
      </c>
      <c r="T44" s="94">
        <f t="shared" ref="T44:T46" si="30">P35</f>
        <v>715439.05924447509</v>
      </c>
      <c r="U44" s="94">
        <f t="shared" ref="U44:U47" si="31">U35</f>
        <v>1417530.0828971984</v>
      </c>
      <c r="V44" s="94">
        <f t="shared" ref="V44:V47" si="32">Z35</f>
        <v>2229571.5418841671</v>
      </c>
      <c r="W44" s="95">
        <f t="shared" ref="W44:W47" si="33">AE35</f>
        <v>3164438.3423918956</v>
      </c>
    </row>
    <row r="45" spans="1:33" x14ac:dyDescent="0.25">
      <c r="B45" s="1"/>
      <c r="C45" s="1"/>
      <c r="D45" s="1"/>
      <c r="E45" s="1"/>
      <c r="F45" s="1"/>
      <c r="G45" s="1"/>
      <c r="H45" s="1"/>
      <c r="I45" s="1"/>
      <c r="P45" s="88" t="s">
        <v>86</v>
      </c>
      <c r="Q45" s="94">
        <f t="shared" si="27"/>
        <v>-745488.72876613098</v>
      </c>
      <c r="R45" s="94">
        <f t="shared" si="28"/>
        <v>89570.994220322988</v>
      </c>
      <c r="S45" s="94">
        <f t="shared" si="29"/>
        <v>99789.553356339267</v>
      </c>
      <c r="T45" s="94">
        <f t="shared" si="30"/>
        <v>110532.5985442583</v>
      </c>
      <c r="U45" s="94">
        <f t="shared" si="31"/>
        <v>121955.69705229808</v>
      </c>
      <c r="V45" s="94">
        <f t="shared" si="32"/>
        <v>133978.09874753465</v>
      </c>
      <c r="W45" s="95">
        <f t="shared" si="33"/>
        <v>146474.08679395283</v>
      </c>
    </row>
    <row r="46" spans="1:33" x14ac:dyDescent="0.25">
      <c r="P46" s="88" t="s">
        <v>87</v>
      </c>
      <c r="Q46" s="94">
        <f t="shared" si="27"/>
        <v>-745488.72876613098</v>
      </c>
      <c r="R46" s="94">
        <f t="shared" si="28"/>
        <v>-412008.81776569918</v>
      </c>
      <c r="S46" s="94">
        <f t="shared" si="29"/>
        <v>66608.672807212351</v>
      </c>
      <c r="T46" s="94">
        <f t="shared" si="30"/>
        <v>597502.15058223123</v>
      </c>
      <c r="U46" s="94">
        <f t="shared" si="31"/>
        <v>1184175.656267816</v>
      </c>
      <c r="V46" s="94">
        <f t="shared" si="32"/>
        <v>1829803.0467643891</v>
      </c>
      <c r="W46" s="95">
        <f t="shared" si="33"/>
        <v>2537023.9378072619</v>
      </c>
    </row>
    <row r="47" spans="1:33" ht="15.75" thickBot="1" x14ac:dyDescent="0.3">
      <c r="P47" s="89" t="s">
        <v>88</v>
      </c>
      <c r="Q47" s="90" t="str">
        <f t="shared" si="27"/>
        <v>---</v>
      </c>
      <c r="R47" s="90">
        <f t="shared" si="28"/>
        <v>-0.25839029824605475</v>
      </c>
      <c r="S47" s="90">
        <f t="shared" si="29"/>
        <v>1.6848547629802368E-2</v>
      </c>
      <c r="T47" s="93">
        <f>P38</f>
        <v>8.476446140120486E-2</v>
      </c>
      <c r="U47" s="90">
        <f t="shared" si="31"/>
        <v>0.10963162693957296</v>
      </c>
      <c r="V47" s="90">
        <f t="shared" si="32"/>
        <v>0.12058898968016574</v>
      </c>
      <c r="W47" s="91">
        <f t="shared" si="33"/>
        <v>0.12593667995810787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38"/>
  <sheetViews>
    <sheetView workbookViewId="0">
      <selection activeCell="J6" sqref="J6"/>
    </sheetView>
  </sheetViews>
  <sheetFormatPr defaultRowHeight="15" x14ac:dyDescent="0.25"/>
  <cols>
    <col min="1" max="1" width="3.7109375" style="13" customWidth="1"/>
    <col min="2" max="2" width="13.42578125" bestFit="1" customWidth="1"/>
    <col min="3" max="3" width="12.7109375" style="31" customWidth="1"/>
    <col min="4" max="4" width="12.7109375" style="25" customWidth="1"/>
    <col min="5" max="6" width="15.85546875" style="31" bestFit="1" customWidth="1"/>
    <col min="7" max="7" width="12.7109375" style="25" customWidth="1"/>
    <col min="8" max="8" width="16.85546875" style="31" bestFit="1" customWidth="1"/>
    <col min="9" max="9" width="13.85546875" style="31" bestFit="1" customWidth="1"/>
  </cols>
  <sheetData>
    <row r="1" spans="1:9" s="40" customFormat="1" x14ac:dyDescent="0.25">
      <c r="A1" s="40" t="s">
        <v>64</v>
      </c>
    </row>
    <row r="2" spans="1:9" ht="15.75" x14ac:dyDescent="0.25">
      <c r="B2" s="15"/>
      <c r="C2" s="27"/>
      <c r="D2" s="22"/>
      <c r="E2" s="27"/>
      <c r="F2" s="28"/>
      <c r="G2" s="23"/>
      <c r="H2" s="27"/>
      <c r="I2" s="29"/>
    </row>
    <row r="3" spans="1:9" ht="15.75" x14ac:dyDescent="0.25">
      <c r="B3" s="15"/>
      <c r="C3" s="27" t="s">
        <v>20</v>
      </c>
      <c r="D3" s="22"/>
      <c r="E3" s="69">
        <f>C7/(G7-D7)</f>
        <v>90962.584092092948</v>
      </c>
      <c r="F3" s="70" t="s">
        <v>19</v>
      </c>
      <c r="G3" s="23"/>
      <c r="H3" s="14">
        <f>E3/1000</f>
        <v>90.962584092092953</v>
      </c>
      <c r="I3" s="29" t="s">
        <v>21</v>
      </c>
    </row>
    <row r="4" spans="1:9" ht="15.75" x14ac:dyDescent="0.25">
      <c r="B4" s="15" t="s">
        <v>121</v>
      </c>
      <c r="C4" s="27"/>
      <c r="D4" s="22"/>
      <c r="E4" s="27"/>
      <c r="F4" s="28"/>
      <c r="G4" s="23"/>
      <c r="H4" s="27"/>
      <c r="I4" s="29"/>
    </row>
    <row r="5" spans="1:9" s="13" customFormat="1" x14ac:dyDescent="0.25">
      <c r="B5" s="12" t="s">
        <v>60</v>
      </c>
      <c r="C5" s="26" t="s">
        <v>5</v>
      </c>
      <c r="D5" s="21" t="s">
        <v>14</v>
      </c>
      <c r="E5" s="26" t="s">
        <v>6</v>
      </c>
      <c r="F5" s="26" t="s">
        <v>4</v>
      </c>
      <c r="G5" s="21" t="s">
        <v>13</v>
      </c>
      <c r="H5" s="26" t="s">
        <v>3</v>
      </c>
      <c r="I5" s="26" t="s">
        <v>2</v>
      </c>
    </row>
    <row r="6" spans="1:9" s="71" customFormat="1" ht="45" x14ac:dyDescent="0.25">
      <c r="B6" s="72" t="s">
        <v>142</v>
      </c>
      <c r="C6" s="73" t="s">
        <v>135</v>
      </c>
      <c r="D6" s="74" t="s">
        <v>136</v>
      </c>
      <c r="E6" s="73" t="s">
        <v>137</v>
      </c>
      <c r="F6" s="73" t="s">
        <v>138</v>
      </c>
      <c r="G6" s="74" t="s">
        <v>139</v>
      </c>
      <c r="H6" s="73" t="s">
        <v>140</v>
      </c>
      <c r="I6" s="73" t="s">
        <v>141</v>
      </c>
    </row>
    <row r="7" spans="1:9" s="20" customFormat="1" x14ac:dyDescent="0.25">
      <c r="A7" s="32" t="s">
        <v>22</v>
      </c>
      <c r="C7" s="30">
        <f>'CF Data(on)'!AG4-'CF Data(on)'!AG23</f>
        <v>754700</v>
      </c>
      <c r="D7" s="24">
        <f>AVERAGE(D9:D38)</f>
        <v>0</v>
      </c>
      <c r="E7" s="30"/>
      <c r="F7" s="30"/>
      <c r="G7" s="24">
        <f>AVERAGE(G9:G38)</f>
        <v>8.2968179447927906</v>
      </c>
      <c r="H7" s="30"/>
      <c r="I7" s="30"/>
    </row>
    <row r="8" spans="1:9" s="13" customFormat="1" x14ac:dyDescent="0.25">
      <c r="A8" s="13" t="s">
        <v>16</v>
      </c>
      <c r="B8" s="12"/>
      <c r="C8" s="26"/>
      <c r="D8" s="21"/>
      <c r="E8" s="26"/>
      <c r="F8" s="26"/>
      <c r="G8" s="21"/>
      <c r="H8" s="26"/>
      <c r="I8" s="26"/>
    </row>
    <row r="9" spans="1:9" ht="15.75" x14ac:dyDescent="0.25">
      <c r="A9" s="13">
        <v>1</v>
      </c>
      <c r="B9" s="16">
        <f>'CF Data(on)'!B$30</f>
        <v>389.94</v>
      </c>
      <c r="C9" s="39">
        <f>$C$7</f>
        <v>754700</v>
      </c>
      <c r="D9" s="22">
        <f>'CF Data(on)'!B$22</f>
        <v>0</v>
      </c>
      <c r="E9" s="27">
        <f t="shared" ref="E9:E38" si="0">D9*B9</f>
        <v>0</v>
      </c>
      <c r="F9" s="27">
        <f t="shared" ref="F9:F38" si="1">E9+C9</f>
        <v>754700</v>
      </c>
      <c r="G9" s="22">
        <f>'CF Data(on)'!B$32</f>
        <v>4.5042415402567091</v>
      </c>
      <c r="H9" s="27">
        <f t="shared" ref="H9:H38" si="2">G9*B9</f>
        <v>1756.3839462077012</v>
      </c>
      <c r="I9" s="29">
        <f t="shared" ref="I9:I38" si="3">H9-F9</f>
        <v>-752943.6160537923</v>
      </c>
    </row>
    <row r="10" spans="1:9" ht="15.75" x14ac:dyDescent="0.25">
      <c r="A10" s="13">
        <v>2</v>
      </c>
      <c r="B10" s="16">
        <f>'CF Data(on)'!C$30+B9</f>
        <v>19598.464499999998</v>
      </c>
      <c r="C10" s="39">
        <f t="shared" ref="C10:C38" si="4">$C$7</f>
        <v>754700</v>
      </c>
      <c r="D10" s="22">
        <f>'CF Data(on)'!C$22</f>
        <v>0</v>
      </c>
      <c r="E10" s="27">
        <f t="shared" si="0"/>
        <v>0</v>
      </c>
      <c r="F10" s="27">
        <f t="shared" si="1"/>
        <v>754700</v>
      </c>
      <c r="G10" s="22">
        <f>'CF Data(on)'!C$32</f>
        <v>4.2883526958593983</v>
      </c>
      <c r="H10" s="27">
        <f t="shared" si="2"/>
        <v>84045.128073279702</v>
      </c>
      <c r="I10" s="29">
        <f t="shared" si="3"/>
        <v>-670654.87192672025</v>
      </c>
    </row>
    <row r="11" spans="1:9" ht="15.75" x14ac:dyDescent="0.25">
      <c r="A11" s="13">
        <v>3</v>
      </c>
      <c r="B11" s="16">
        <f>'CF Data(on)'!D$30+B10</f>
        <v>39247.474300000002</v>
      </c>
      <c r="C11" s="39">
        <f t="shared" si="4"/>
        <v>754700</v>
      </c>
      <c r="D11" s="22">
        <f>'CF Data(on)'!D$22</f>
        <v>0</v>
      </c>
      <c r="E11" s="27">
        <f t="shared" si="0"/>
        <v>0</v>
      </c>
      <c r="F11" s="27">
        <f t="shared" si="1"/>
        <v>754700</v>
      </c>
      <c r="G11" s="22">
        <f>'CF Data(on)'!D$32</f>
        <v>4.9279274764150944</v>
      </c>
      <c r="H11" s="27">
        <f t="shared" si="2"/>
        <v>193408.70698286529</v>
      </c>
      <c r="I11" s="29">
        <f t="shared" si="3"/>
        <v>-561291.29301713477</v>
      </c>
    </row>
    <row r="12" spans="1:9" ht="15.75" x14ac:dyDescent="0.25">
      <c r="A12" s="13">
        <v>4</v>
      </c>
      <c r="B12" s="16">
        <f>'CF Data(on)'!E$30+B11</f>
        <v>57965.079299999998</v>
      </c>
      <c r="C12" s="39">
        <f t="shared" si="4"/>
        <v>754700</v>
      </c>
      <c r="D12" s="22">
        <f>'CF Data(on)'!E$22</f>
        <v>0</v>
      </c>
      <c r="E12" s="27">
        <f t="shared" si="0"/>
        <v>0</v>
      </c>
      <c r="F12" s="27">
        <f t="shared" si="1"/>
        <v>754700</v>
      </c>
      <c r="G12" s="22">
        <f>'CF Data(on)'!E$32</f>
        <v>3.8459401709401706</v>
      </c>
      <c r="H12" s="27">
        <f t="shared" si="2"/>
        <v>222930.22699160254</v>
      </c>
      <c r="I12" s="29">
        <f t="shared" si="3"/>
        <v>-531769.77300839743</v>
      </c>
    </row>
    <row r="13" spans="1:9" ht="15.75" x14ac:dyDescent="0.25">
      <c r="A13" s="13">
        <v>5</v>
      </c>
      <c r="B13" s="16">
        <f>'CF Data(on)'!F$30+B12</f>
        <v>76659.159299999999</v>
      </c>
      <c r="C13" s="39">
        <f t="shared" si="4"/>
        <v>754700</v>
      </c>
      <c r="D13" s="22">
        <f>'CF Data(on)'!F$22</f>
        <v>0</v>
      </c>
      <c r="E13" s="27">
        <f t="shared" si="0"/>
        <v>0</v>
      </c>
      <c r="F13" s="27">
        <f t="shared" si="1"/>
        <v>754700</v>
      </c>
      <c r="G13" s="22">
        <f>'CF Data(on)'!F$32</f>
        <v>5.035819635039994</v>
      </c>
      <c r="H13" s="27">
        <f t="shared" si="2"/>
        <v>386041.69960859878</v>
      </c>
      <c r="I13" s="29">
        <f t="shared" si="3"/>
        <v>-368658.30039140122</v>
      </c>
    </row>
    <row r="14" spans="1:9" ht="15.75" x14ac:dyDescent="0.25">
      <c r="A14" s="13">
        <v>6</v>
      </c>
      <c r="B14" s="16">
        <f>'CF Data(on)'!G$30+B13</f>
        <v>95200.090800000005</v>
      </c>
      <c r="C14" s="39">
        <f t="shared" si="4"/>
        <v>754700</v>
      </c>
      <c r="D14" s="22">
        <f>'CF Data(on)'!G$22</f>
        <v>0</v>
      </c>
      <c r="E14" s="27">
        <f t="shared" si="0"/>
        <v>0</v>
      </c>
      <c r="F14" s="27">
        <f t="shared" si="1"/>
        <v>754700</v>
      </c>
      <c r="G14" s="22">
        <f>'CF Data(on)'!G$32</f>
        <v>5.2510241901913126</v>
      </c>
      <c r="H14" s="27">
        <f t="shared" si="2"/>
        <v>499897.97969920945</v>
      </c>
      <c r="I14" s="29">
        <f t="shared" si="3"/>
        <v>-254802.02030079055</v>
      </c>
    </row>
    <row r="15" spans="1:9" ht="15.75" x14ac:dyDescent="0.25">
      <c r="A15" s="13">
        <v>7</v>
      </c>
      <c r="B15" s="16">
        <f>'CF Data(on)'!H$30+B14</f>
        <v>113545.85460000001</v>
      </c>
      <c r="C15" s="39">
        <f t="shared" si="4"/>
        <v>754700</v>
      </c>
      <c r="D15" s="22">
        <f>'CF Data(on)'!H$22</f>
        <v>0</v>
      </c>
      <c r="E15" s="27">
        <f t="shared" si="0"/>
        <v>0</v>
      </c>
      <c r="F15" s="27">
        <f t="shared" si="1"/>
        <v>754700</v>
      </c>
      <c r="G15" s="22">
        <f>'CF Data(on)'!H$32</f>
        <v>5.4753119474079881</v>
      </c>
      <c r="H15" s="27">
        <f t="shared" si="2"/>
        <v>621698.97427003027</v>
      </c>
      <c r="I15" s="29">
        <f t="shared" si="3"/>
        <v>-133001.02572996973</v>
      </c>
    </row>
    <row r="16" spans="1:9" ht="15.75" x14ac:dyDescent="0.25">
      <c r="A16" s="13">
        <v>8</v>
      </c>
      <c r="B16" s="16">
        <f>'CF Data(on)'!I$30+B15</f>
        <v>131696.45069999999</v>
      </c>
      <c r="C16" s="39">
        <f t="shared" si="4"/>
        <v>754700</v>
      </c>
      <c r="D16" s="22">
        <f>'CF Data(on)'!I$22</f>
        <v>0</v>
      </c>
      <c r="E16" s="27">
        <f t="shared" si="0"/>
        <v>0</v>
      </c>
      <c r="F16" s="27">
        <f t="shared" si="1"/>
        <v>754700</v>
      </c>
      <c r="G16" s="22">
        <f>'CF Data(on)'!I$32</f>
        <v>5.7090614978087144</v>
      </c>
      <c r="H16" s="27">
        <f t="shared" si="2"/>
        <v>751863.13608943345</v>
      </c>
      <c r="I16" s="29">
        <f t="shared" si="3"/>
        <v>-2836.8639105665497</v>
      </c>
    </row>
    <row r="17" spans="1:9" ht="15.75" x14ac:dyDescent="0.25">
      <c r="A17" s="13">
        <v>9</v>
      </c>
      <c r="B17" s="16">
        <f>'CF Data(on)'!J$30+B16</f>
        <v>149651.87909999999</v>
      </c>
      <c r="C17" s="39">
        <f t="shared" si="4"/>
        <v>754700</v>
      </c>
      <c r="D17" s="22">
        <f>'CF Data(on)'!J$22</f>
        <v>0</v>
      </c>
      <c r="E17" s="27">
        <f t="shared" si="0"/>
        <v>0</v>
      </c>
      <c r="F17" s="27">
        <f t="shared" si="1"/>
        <v>754700</v>
      </c>
      <c r="G17" s="22">
        <f>'CF Data(on)'!J$32</f>
        <v>5.9526670130321166</v>
      </c>
      <c r="H17" s="27">
        <f t="shared" si="2"/>
        <v>890827.80415684043</v>
      </c>
      <c r="I17" s="29">
        <f t="shared" si="3"/>
        <v>136127.80415684043</v>
      </c>
    </row>
    <row r="18" spans="1:9" ht="15.75" x14ac:dyDescent="0.25">
      <c r="A18" s="13">
        <v>10</v>
      </c>
      <c r="B18" s="16">
        <f>'CF Data(on)'!K$30+B17</f>
        <v>167412.1398</v>
      </c>
      <c r="C18" s="39">
        <f t="shared" si="4"/>
        <v>754700</v>
      </c>
      <c r="D18" s="22">
        <f>'CF Data(on)'!K$22</f>
        <v>0</v>
      </c>
      <c r="E18" s="27">
        <f t="shared" si="0"/>
        <v>0</v>
      </c>
      <c r="F18" s="27">
        <f t="shared" si="1"/>
        <v>754700</v>
      </c>
      <c r="G18" s="22">
        <f>'CF Data(on)'!K$32</f>
        <v>6.2065388782448618</v>
      </c>
      <c r="H18" s="27">
        <f t="shared" si="2"/>
        <v>1039049.954358864</v>
      </c>
      <c r="I18" s="29">
        <f t="shared" si="3"/>
        <v>284349.95435886399</v>
      </c>
    </row>
    <row r="19" spans="1:9" ht="15.75" x14ac:dyDescent="0.25">
      <c r="A19" s="13">
        <v>11</v>
      </c>
      <c r="B19" s="16">
        <f>'CF Data(on)'!L$30+B18</f>
        <v>184977.2328</v>
      </c>
      <c r="C19" s="39">
        <f t="shared" si="4"/>
        <v>754700</v>
      </c>
      <c r="D19" s="22">
        <f>'CF Data(on)'!L$22</f>
        <v>0</v>
      </c>
      <c r="E19" s="27">
        <f t="shared" si="0"/>
        <v>0</v>
      </c>
      <c r="F19" s="27">
        <f t="shared" si="1"/>
        <v>754700</v>
      </c>
      <c r="G19" s="22">
        <f>'CF Data(on)'!L$32</f>
        <v>6.4711043505332517</v>
      </c>
      <c r="H19" s="27">
        <f t="shared" si="2"/>
        <v>1197006.9759216821</v>
      </c>
      <c r="I19" s="29">
        <f t="shared" si="3"/>
        <v>442306.97592168208</v>
      </c>
    </row>
    <row r="20" spans="1:9" ht="15.75" x14ac:dyDescent="0.25">
      <c r="A20" s="13">
        <v>12</v>
      </c>
      <c r="B20" s="16">
        <f>'CF Data(on)'!M$30+B19</f>
        <v>202347.1581</v>
      </c>
      <c r="C20" s="39">
        <f t="shared" si="4"/>
        <v>754700</v>
      </c>
      <c r="D20" s="22">
        <f>'CF Data(on)'!M$22</f>
        <v>0</v>
      </c>
      <c r="E20" s="27">
        <f t="shared" si="0"/>
        <v>0</v>
      </c>
      <c r="F20" s="27">
        <f t="shared" si="1"/>
        <v>754700</v>
      </c>
      <c r="G20" s="22">
        <f>'CF Data(on)'!M$32</f>
        <v>6.7468082436847414</v>
      </c>
      <c r="H20" s="27">
        <f t="shared" si="2"/>
        <v>1365197.4743552597</v>
      </c>
      <c r="I20" s="29">
        <f t="shared" si="3"/>
        <v>610497.47435525968</v>
      </c>
    </row>
    <row r="21" spans="1:9" ht="15.75" x14ac:dyDescent="0.25">
      <c r="A21" s="13">
        <v>13</v>
      </c>
      <c r="B21" s="16">
        <f>'CF Data(on)'!N$30+B20</f>
        <v>219521.91570000001</v>
      </c>
      <c r="C21" s="39">
        <f t="shared" si="4"/>
        <v>754700</v>
      </c>
      <c r="D21" s="22">
        <f>'CF Data(on)'!N$22</f>
        <v>0</v>
      </c>
      <c r="E21" s="27">
        <f t="shared" si="0"/>
        <v>0</v>
      </c>
      <c r="F21" s="27">
        <f t="shared" si="1"/>
        <v>754700</v>
      </c>
      <c r="G21" s="22">
        <f>'CF Data(on)'!N$32</f>
        <v>7.0341136404040663</v>
      </c>
      <c r="H21" s="27">
        <f t="shared" si="2"/>
        <v>1544142.1015930017</v>
      </c>
      <c r="I21" s="29">
        <f t="shared" si="3"/>
        <v>789442.10159300175</v>
      </c>
    </row>
    <row r="22" spans="1:9" ht="15.75" x14ac:dyDescent="0.25">
      <c r="A22" s="13">
        <v>14</v>
      </c>
      <c r="B22" s="16">
        <f>'CF Data(on)'!O$30+B21</f>
        <v>236501.5056</v>
      </c>
      <c r="C22" s="39">
        <f t="shared" si="4"/>
        <v>754700</v>
      </c>
      <c r="D22" s="22">
        <f>'CF Data(on)'!O$22</f>
        <v>0</v>
      </c>
      <c r="E22" s="27">
        <f t="shared" si="0"/>
        <v>0</v>
      </c>
      <c r="F22" s="27">
        <f t="shared" si="1"/>
        <v>754700</v>
      </c>
      <c r="G22" s="22">
        <f>'CF Data(on)'!O$32</f>
        <v>7.3335026330497364</v>
      </c>
      <c r="H22" s="27">
        <f t="shared" si="2"/>
        <v>1734384.4140378269</v>
      </c>
      <c r="I22" s="29">
        <f t="shared" si="3"/>
        <v>979684.41403782694</v>
      </c>
    </row>
    <row r="23" spans="1:9" ht="15.75" x14ac:dyDescent="0.25">
      <c r="A23" s="13">
        <v>15</v>
      </c>
      <c r="B23" s="16">
        <f>'CF Data(on)'!P$30+B22</f>
        <v>253285.9278</v>
      </c>
      <c r="C23" s="39">
        <f t="shared" si="4"/>
        <v>754700</v>
      </c>
      <c r="D23" s="22">
        <f>'CF Data(on)'!P$22</f>
        <v>0</v>
      </c>
      <c r="E23" s="27">
        <f t="shared" si="0"/>
        <v>0</v>
      </c>
      <c r="F23" s="27">
        <f t="shared" si="1"/>
        <v>754700</v>
      </c>
      <c r="G23" s="22">
        <f>'CF Data(on)'!P$32</f>
        <v>7.6454770940079779</v>
      </c>
      <c r="H23" s="27">
        <f t="shared" si="2"/>
        <v>1936491.7592294586</v>
      </c>
      <c r="I23" s="29">
        <f t="shared" si="3"/>
        <v>1181791.7592294586</v>
      </c>
    </row>
    <row r="24" spans="1:9" ht="15.75" x14ac:dyDescent="0.25">
      <c r="A24" s="13">
        <v>16</v>
      </c>
      <c r="B24" s="16">
        <f>'CF Data(on)'!Q$30+B23</f>
        <v>269875.18229999999</v>
      </c>
      <c r="C24" s="39">
        <f t="shared" si="4"/>
        <v>754700</v>
      </c>
      <c r="D24" s="22">
        <f>'CF Data(on)'!Q$22</f>
        <v>0</v>
      </c>
      <c r="E24" s="27">
        <f t="shared" si="0"/>
        <v>0</v>
      </c>
      <c r="F24" s="27">
        <f t="shared" si="1"/>
        <v>754700</v>
      </c>
      <c r="G24" s="22">
        <f>'CF Data(on)'!Q$32</f>
        <v>7.9705594768970238</v>
      </c>
      <c r="H24" s="27">
        <f t="shared" si="2"/>
        <v>2151056.1918605766</v>
      </c>
      <c r="I24" s="29">
        <f t="shared" si="3"/>
        <v>1396356.1918605766</v>
      </c>
    </row>
    <row r="25" spans="1:9" ht="15.75" x14ac:dyDescent="0.25">
      <c r="A25" s="13">
        <v>17</v>
      </c>
      <c r="B25" s="16">
        <f>'CF Data(on)'!R$30+B24</f>
        <v>286269.26909999998</v>
      </c>
      <c r="C25" s="39">
        <f t="shared" si="4"/>
        <v>754700</v>
      </c>
      <c r="D25" s="22">
        <f>'CF Data(on)'!R$22</f>
        <v>0</v>
      </c>
      <c r="E25" s="27">
        <f t="shared" si="0"/>
        <v>0</v>
      </c>
      <c r="F25" s="27">
        <f t="shared" si="1"/>
        <v>754700</v>
      </c>
      <c r="G25" s="22">
        <f>'CF Data(on)'!R$32</f>
        <v>8.309293649791508</v>
      </c>
      <c r="H25" s="27">
        <f t="shared" si="2"/>
        <v>2378695.4198630862</v>
      </c>
      <c r="I25" s="29">
        <f t="shared" si="3"/>
        <v>1623995.4198630862</v>
      </c>
    </row>
    <row r="26" spans="1:9" ht="15.75" x14ac:dyDescent="0.25">
      <c r="A26" s="13">
        <v>18</v>
      </c>
      <c r="B26" s="16">
        <f>'CF Data(on)'!S$30+B25</f>
        <v>302468.18819999998</v>
      </c>
      <c r="C26" s="39">
        <f t="shared" si="4"/>
        <v>754700</v>
      </c>
      <c r="D26" s="22">
        <f>'CF Data(on)'!S$22</f>
        <v>0</v>
      </c>
      <c r="E26" s="27">
        <f t="shared" si="0"/>
        <v>0</v>
      </c>
      <c r="F26" s="27">
        <f t="shared" si="1"/>
        <v>754700</v>
      </c>
      <c r="G26" s="22">
        <f>'CF Data(on)'!S$32</f>
        <v>8.6622457617523576</v>
      </c>
      <c r="H26" s="27">
        <f t="shared" si="2"/>
        <v>2620053.7813003641</v>
      </c>
      <c r="I26" s="29">
        <f t="shared" si="3"/>
        <v>1865353.7813003641</v>
      </c>
    </row>
    <row r="27" spans="1:9" ht="15.75" x14ac:dyDescent="0.25">
      <c r="A27" s="13">
        <v>19</v>
      </c>
      <c r="B27" s="16">
        <f>'CF Data(on)'!T$30+B26</f>
        <v>318471.93959999998</v>
      </c>
      <c r="C27" s="39">
        <f t="shared" si="4"/>
        <v>754700</v>
      </c>
      <c r="D27" s="22">
        <f>'CF Data(on)'!T$22</f>
        <v>0</v>
      </c>
      <c r="E27" s="27">
        <f t="shared" si="0"/>
        <v>0</v>
      </c>
      <c r="F27" s="27">
        <f t="shared" si="1"/>
        <v>754700</v>
      </c>
      <c r="G27" s="22">
        <f>'CF Data(on)'!T$32</f>
        <v>9.0300051439596238</v>
      </c>
      <c r="H27" s="27">
        <f t="shared" si="2"/>
        <v>2875803.2527947985</v>
      </c>
      <c r="I27" s="29">
        <f t="shared" si="3"/>
        <v>2121103.2527947985</v>
      </c>
    </row>
    <row r="28" spans="1:9" ht="15.75" x14ac:dyDescent="0.25">
      <c r="A28" s="13">
        <v>20</v>
      </c>
      <c r="B28" s="16">
        <f>'CF Data(on)'!U$30+B27</f>
        <v>334280.5233</v>
      </c>
      <c r="C28" s="39">
        <f t="shared" si="4"/>
        <v>754700</v>
      </c>
      <c r="D28" s="22">
        <f>'CF Data(on)'!U$22</f>
        <v>0</v>
      </c>
      <c r="E28" s="27">
        <f t="shared" si="0"/>
        <v>0</v>
      </c>
      <c r="F28" s="27">
        <f t="shared" si="1"/>
        <v>754700</v>
      </c>
      <c r="G28" s="22">
        <f>'CF Data(on)'!U$32</f>
        <v>9.4131852468305421</v>
      </c>
      <c r="H28" s="27">
        <f t="shared" si="2"/>
        <v>3146644.4902303531</v>
      </c>
      <c r="I28" s="29">
        <f t="shared" si="3"/>
        <v>2391944.4902303531</v>
      </c>
    </row>
    <row r="29" spans="1:9" ht="15.75" x14ac:dyDescent="0.25">
      <c r="A29" s="13">
        <v>21</v>
      </c>
      <c r="B29" s="16">
        <f>'CF Data(on)'!V$30+B28</f>
        <v>349893.93929999997</v>
      </c>
      <c r="C29" s="39">
        <f t="shared" si="4"/>
        <v>754700</v>
      </c>
      <c r="D29" s="22">
        <f>'CF Data(on)'!V$22</f>
        <v>0</v>
      </c>
      <c r="E29" s="27">
        <f t="shared" si="0"/>
        <v>0</v>
      </c>
      <c r="F29" s="27">
        <f t="shared" si="1"/>
        <v>754700</v>
      </c>
      <c r="G29" s="22">
        <f>'CF Data(on)'!V$32</f>
        <v>9.8124246145189638</v>
      </c>
      <c r="H29" s="27">
        <f t="shared" si="2"/>
        <v>3433307.9024583241</v>
      </c>
      <c r="I29" s="29">
        <f t="shared" si="3"/>
        <v>2678607.9024583241</v>
      </c>
    </row>
    <row r="30" spans="1:9" ht="15.75" x14ac:dyDescent="0.25">
      <c r="A30" s="13">
        <v>22</v>
      </c>
      <c r="B30" s="16">
        <f>'CF Data(on)'!W$30+B29</f>
        <v>365312.18759999995</v>
      </c>
      <c r="C30" s="39">
        <f t="shared" si="4"/>
        <v>754700</v>
      </c>
      <c r="D30" s="22">
        <f>'CF Data(on)'!W$22</f>
        <v>0</v>
      </c>
      <c r="E30" s="27">
        <f t="shared" si="0"/>
        <v>0</v>
      </c>
      <c r="F30" s="27">
        <f t="shared" si="1"/>
        <v>754700</v>
      </c>
      <c r="G30" s="22">
        <f>'CF Data(on)'!W$32</f>
        <v>10.228387898282724</v>
      </c>
      <c r="H30" s="27">
        <f t="shared" si="2"/>
        <v>3736554.7587430277</v>
      </c>
      <c r="I30" s="29">
        <f t="shared" si="3"/>
        <v>2981854.7587430277</v>
      </c>
    </row>
    <row r="31" spans="1:9" ht="15.75" x14ac:dyDescent="0.25">
      <c r="A31" s="13">
        <v>23</v>
      </c>
      <c r="B31" s="16">
        <f>'CF Data(on)'!X$30+B30</f>
        <v>380535.26819999993</v>
      </c>
      <c r="C31" s="39">
        <f t="shared" si="4"/>
        <v>754700</v>
      </c>
      <c r="D31" s="22">
        <f>'CF Data(on)'!X$22</f>
        <v>0</v>
      </c>
      <c r="E31" s="27">
        <f t="shared" si="0"/>
        <v>0</v>
      </c>
      <c r="F31" s="27">
        <f t="shared" si="1"/>
        <v>754700</v>
      </c>
      <c r="G31" s="22">
        <f>'CF Data(on)'!X$32</f>
        <v>10.661766910252187</v>
      </c>
      <c r="H31" s="27">
        <f t="shared" si="2"/>
        <v>4057178.3306787005</v>
      </c>
      <c r="I31" s="29">
        <f t="shared" si="3"/>
        <v>3302478.3306787005</v>
      </c>
    </row>
    <row r="32" spans="1:9" ht="15.75" x14ac:dyDescent="0.25">
      <c r="A32" s="13">
        <v>24</v>
      </c>
      <c r="B32" s="16">
        <f>'CF Data(on)'!Y$30+B31</f>
        <v>395563.18109999993</v>
      </c>
      <c r="C32" s="39">
        <f t="shared" si="4"/>
        <v>754700</v>
      </c>
      <c r="D32" s="22">
        <f>'CF Data(on)'!Y$22</f>
        <v>0</v>
      </c>
      <c r="E32" s="27">
        <f t="shared" si="0"/>
        <v>0</v>
      </c>
      <c r="F32" s="27">
        <f t="shared" si="1"/>
        <v>754700</v>
      </c>
      <c r="G32" s="22">
        <f>'CF Data(on)'!Y$32</f>
        <v>11.113281719167242</v>
      </c>
      <c r="H32" s="27">
        <f t="shared" si="2"/>
        <v>4396005.0692942701</v>
      </c>
      <c r="I32" s="29">
        <f t="shared" si="3"/>
        <v>3641305.0692942701</v>
      </c>
    </row>
    <row r="33" spans="1:9" ht="15.75" x14ac:dyDescent="0.25">
      <c r="A33" s="13">
        <v>25</v>
      </c>
      <c r="B33" s="16">
        <f>'CF Data(on)'!Z$30+B32</f>
        <v>410395.92629999993</v>
      </c>
      <c r="C33" s="39">
        <f t="shared" si="4"/>
        <v>754700</v>
      </c>
      <c r="D33" s="22">
        <f>'CF Data(on)'!Z$22</f>
        <v>0</v>
      </c>
      <c r="E33" s="27">
        <f t="shared" si="0"/>
        <v>0</v>
      </c>
      <c r="F33" s="27">
        <f t="shared" si="1"/>
        <v>754700</v>
      </c>
      <c r="G33" s="22">
        <f>'CF Data(on)'!Z$32</f>
        <v>11.583681789761812</v>
      </c>
      <c r="H33" s="27">
        <f t="shared" si="2"/>
        <v>4753895.8180737402</v>
      </c>
      <c r="I33" s="29">
        <f t="shared" si="3"/>
        <v>3999195.8180737402</v>
      </c>
    </row>
    <row r="34" spans="1:9" ht="15.75" x14ac:dyDescent="0.25">
      <c r="A34" s="13">
        <v>26</v>
      </c>
      <c r="B34" s="16">
        <f>'CF Data(on)'!AA$30+B33</f>
        <v>425033.50379999995</v>
      </c>
      <c r="C34" s="39">
        <f t="shared" si="4"/>
        <v>754700</v>
      </c>
      <c r="D34" s="22">
        <f>'CF Data(on)'!AA$22</f>
        <v>0</v>
      </c>
      <c r="E34" s="27">
        <f t="shared" si="0"/>
        <v>0</v>
      </c>
      <c r="F34" s="27">
        <f t="shared" si="1"/>
        <v>754700</v>
      </c>
      <c r="G34" s="22">
        <f>'CF Data(on)'!AA$32</f>
        <v>12.073747167495805</v>
      </c>
      <c r="H34" s="27">
        <f t="shared" si="2"/>
        <v>5131747.0625960669</v>
      </c>
      <c r="I34" s="29">
        <f t="shared" si="3"/>
        <v>4377047.0625960669</v>
      </c>
    </row>
    <row r="35" spans="1:9" ht="15.75" x14ac:dyDescent="0.25">
      <c r="A35" s="13">
        <v>27</v>
      </c>
      <c r="B35" s="16">
        <f>'CF Data(on)'!AB$30+B34</f>
        <v>439475.91359999997</v>
      </c>
      <c r="C35" s="39">
        <f t="shared" si="4"/>
        <v>754700</v>
      </c>
      <c r="D35" s="22">
        <f>'CF Data(on)'!AB$22</f>
        <v>0</v>
      </c>
      <c r="E35" s="27">
        <f t="shared" si="0"/>
        <v>0</v>
      </c>
      <c r="F35" s="27">
        <f t="shared" si="1"/>
        <v>754700</v>
      </c>
      <c r="G35" s="22">
        <f>'CF Data(on)'!AB$32</f>
        <v>12.584289710399524</v>
      </c>
      <c r="H35" s="27">
        <f t="shared" si="2"/>
        <v>5530492.21748491</v>
      </c>
      <c r="I35" s="29">
        <f t="shared" si="3"/>
        <v>4775792.21748491</v>
      </c>
    </row>
    <row r="36" spans="1:9" ht="15.75" x14ac:dyDescent="0.25">
      <c r="A36" s="13">
        <v>28</v>
      </c>
      <c r="B36" s="16">
        <f>'CF Data(on)'!AC$30+B35</f>
        <v>453723.15569999994</v>
      </c>
      <c r="C36" s="39">
        <f t="shared" si="4"/>
        <v>754700</v>
      </c>
      <c r="D36" s="22">
        <f>'CF Data(on)'!AC$22</f>
        <v>0</v>
      </c>
      <c r="E36" s="27">
        <f t="shared" si="0"/>
        <v>0</v>
      </c>
      <c r="F36" s="27">
        <f t="shared" si="1"/>
        <v>754700</v>
      </c>
      <c r="G36" s="22">
        <f>'CF Data(on)'!AC$32</f>
        <v>13.1161543699337</v>
      </c>
      <c r="H36" s="27">
        <f t="shared" si="2"/>
        <v>5951102.951374663</v>
      </c>
      <c r="I36" s="29">
        <f t="shared" si="3"/>
        <v>5196402.951374663</v>
      </c>
    </row>
    <row r="37" spans="1:9" ht="15.75" x14ac:dyDescent="0.25">
      <c r="A37" s="13">
        <v>29</v>
      </c>
      <c r="B37" s="16">
        <f>'CF Data(on)'!AD$30+B36</f>
        <v>467775.23009999993</v>
      </c>
      <c r="C37" s="39">
        <f t="shared" si="4"/>
        <v>754700</v>
      </c>
      <c r="D37" s="22">
        <f>'CF Data(on)'!AD$22</f>
        <v>0</v>
      </c>
      <c r="E37" s="27">
        <f t="shared" si="0"/>
        <v>0</v>
      </c>
      <c r="F37" s="27">
        <f t="shared" si="1"/>
        <v>754700</v>
      </c>
      <c r="G37" s="22">
        <f>'CF Data(on)'!AD$32</f>
        <v>13.670220522712581</v>
      </c>
      <c r="H37" s="27">
        <f t="shared" si="2"/>
        <v>6394590.5505296187</v>
      </c>
      <c r="I37" s="29">
        <f t="shared" si="3"/>
        <v>5639890.5505296187</v>
      </c>
    </row>
    <row r="38" spans="1:9" ht="15.75" x14ac:dyDescent="0.25">
      <c r="A38" s="13">
        <v>30</v>
      </c>
      <c r="B38" s="16">
        <f>'CF Data(on)'!AE$30+B37</f>
        <v>481632.13679999992</v>
      </c>
      <c r="C38" s="39">
        <f t="shared" si="4"/>
        <v>754700</v>
      </c>
      <c r="D38" s="22">
        <f>'CF Data(on)'!AE$22</f>
        <v>0</v>
      </c>
      <c r="E38" s="27">
        <f t="shared" si="0"/>
        <v>0</v>
      </c>
      <c r="F38" s="27">
        <f t="shared" si="1"/>
        <v>754700</v>
      </c>
      <c r="G38" s="22">
        <f>'CF Data(on)'!AE$32</f>
        <v>14.247403355151933</v>
      </c>
      <c r="H38" s="27">
        <f t="shared" si="2"/>
        <v>6862007.3217933141</v>
      </c>
      <c r="I38" s="29">
        <f t="shared" si="3"/>
        <v>6107307.3217933141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6</vt:i4>
      </vt:variant>
      <vt:variant>
        <vt:lpstr>grafy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Tesco</vt:lpstr>
      <vt:lpstr>E.Profil Data</vt:lpstr>
      <vt:lpstr>Ceny El.nákup</vt:lpstr>
      <vt:lpstr>Diskont</vt:lpstr>
      <vt:lpstr>CF Data(on)</vt:lpstr>
      <vt:lpstr>BEP(on)</vt:lpstr>
      <vt:lpstr>Korelace Graf</vt:lpstr>
      <vt:lpstr>E.Profil Graf</vt:lpstr>
      <vt:lpstr>CF Graf(on)</vt:lpstr>
      <vt:lpstr>BEP Graf</vt:lpstr>
      <vt:lpstr>'E.Profil Data'!dayData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Pawliczek</dc:creator>
  <cp:lastModifiedBy>pawliczeka</cp:lastModifiedBy>
  <dcterms:created xsi:type="dcterms:W3CDTF">2014-12-10T09:01:47Z</dcterms:created>
  <dcterms:modified xsi:type="dcterms:W3CDTF">2019-04-15T10:05:39Z</dcterms:modified>
</cp:coreProperties>
</file>