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ink/ink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is.loc\shares\mvso\users\mensikm\Dokumenty\MVSO\Vyuka\MU\MU_I\2022\"/>
    </mc:Choice>
  </mc:AlternateContent>
  <xr:revisionPtr revIDLastSave="0" documentId="10_ncr:100000_{B31BFB72-94D3-4977-AC6E-05FC212BB3CF}" xr6:coauthVersionLast="31" xr6:coauthVersionMax="31" xr10:uidLastSave="{00000000-0000-0000-0000-000000000000}"/>
  <bookViews>
    <workbookView xWindow="0" yWindow="0" windowWidth="19200" windowHeight="6960" tabRatio="720" firstSheet="2" activeTab="5" xr2:uid="{BC4AFA50-0A73-47CD-9C0A-B89FEC619562}"/>
  </bookViews>
  <sheets>
    <sheet name="odpisy" sheetId="1" r:id="rId1"/>
    <sheet name="Pojetí Zisku" sheetId="2" r:id="rId2"/>
    <sheet name="Hospodárnost" sheetId="3" r:id="rId3"/>
    <sheet name="Efektivnost" sheetId="4" r:id="rId4"/>
    <sheet name="BZ_VN_FN" sheetId="5" r:id="rId5"/>
    <sheet name="BZ_hodnotově" sheetId="9" r:id="rId6"/>
    <sheet name="VN_FN" sheetId="6" r:id="rId7"/>
    <sheet name="Metoda_dvou bodu" sheetId="7" r:id="rId8"/>
    <sheet name="Metoda_dvou bodu (2)" sheetId="8" r:id="rId9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9" l="1"/>
  <c r="L4" i="9"/>
  <c r="L2" i="9"/>
  <c r="J26" i="9"/>
  <c r="J24" i="9"/>
  <c r="J25" i="9" s="1"/>
  <c r="J27" i="9" s="1"/>
  <c r="I24" i="9"/>
  <c r="H24" i="9"/>
  <c r="J22" i="9"/>
  <c r="I22" i="9"/>
  <c r="H22" i="9"/>
  <c r="C23" i="9"/>
  <c r="C22" i="9"/>
  <c r="K20" i="9"/>
  <c r="I20" i="9"/>
  <c r="J20" i="9"/>
  <c r="G18" i="9"/>
  <c r="G19" i="9"/>
  <c r="G17" i="9"/>
  <c r="H20" i="9"/>
  <c r="J18" i="9"/>
  <c r="J19" i="9"/>
  <c r="J17" i="9"/>
  <c r="I18" i="9"/>
  <c r="I19" i="9"/>
  <c r="I17" i="9"/>
  <c r="H18" i="9"/>
  <c r="H19" i="9"/>
  <c r="H17" i="9"/>
  <c r="H14" i="9"/>
  <c r="I14" i="9" s="1"/>
  <c r="H15" i="9"/>
  <c r="I15" i="9" s="1"/>
  <c r="H13" i="9"/>
  <c r="I13" i="9" s="1"/>
  <c r="G3" i="9"/>
  <c r="G4" i="9"/>
  <c r="G2" i="9"/>
  <c r="C13" i="9"/>
  <c r="C11" i="9"/>
  <c r="J7" i="9"/>
  <c r="I7" i="9"/>
  <c r="H7" i="9"/>
  <c r="C6" i="9"/>
  <c r="J5" i="9"/>
  <c r="I5" i="9"/>
  <c r="H5" i="9"/>
  <c r="K5" i="9"/>
  <c r="J3" i="9"/>
  <c r="J4" i="9"/>
  <c r="J2" i="9"/>
  <c r="I3" i="9"/>
  <c r="I4" i="9"/>
  <c r="I2" i="9"/>
  <c r="H3" i="9"/>
  <c r="H4" i="9"/>
  <c r="H2" i="9"/>
  <c r="D17" i="8"/>
  <c r="D4" i="8"/>
  <c r="C4" i="8"/>
  <c r="D17" i="7"/>
  <c r="D16" i="7"/>
  <c r="D14" i="7"/>
  <c r="D11" i="7"/>
  <c r="D4" i="7"/>
  <c r="C4" i="7"/>
  <c r="C20" i="6"/>
  <c r="F5" i="6"/>
  <c r="C5" i="5"/>
  <c r="M4" i="5" s="1"/>
  <c r="C4" i="5"/>
  <c r="N5" i="5" s="1"/>
  <c r="C3" i="5"/>
  <c r="C7" i="5" s="1"/>
  <c r="N4" i="5"/>
  <c r="L8" i="5"/>
  <c r="L9" i="5"/>
  <c r="I12" i="4"/>
  <c r="I11" i="4"/>
  <c r="H12" i="4"/>
  <c r="G12" i="4"/>
  <c r="F12" i="4"/>
  <c r="H11" i="4"/>
  <c r="G11" i="4"/>
  <c r="F11" i="4"/>
  <c r="C8" i="4"/>
  <c r="D8" i="4" s="1"/>
  <c r="G10" i="3"/>
  <c r="G6" i="3"/>
  <c r="G12" i="3"/>
  <c r="G11" i="3"/>
  <c r="G5" i="3"/>
  <c r="C12" i="3"/>
  <c r="G4" i="3"/>
  <c r="D10" i="3"/>
  <c r="C10" i="3"/>
  <c r="G3" i="3"/>
  <c r="E3" i="3"/>
  <c r="E5" i="2"/>
  <c r="D7" i="1"/>
  <c r="C7" i="1"/>
  <c r="F5" i="1"/>
  <c r="G5" i="1" s="1"/>
  <c r="D5" i="1"/>
  <c r="C5" i="1"/>
  <c r="H4" i="1"/>
  <c r="H2" i="1"/>
  <c r="G4" i="1"/>
  <c r="F4" i="1"/>
  <c r="G2" i="1"/>
  <c r="F2" i="1"/>
  <c r="D2" i="1"/>
  <c r="C2" i="1"/>
  <c r="D11" i="8" l="1"/>
  <c r="D14" i="8" s="1"/>
  <c r="D16" i="8" s="1"/>
  <c r="M9" i="5"/>
  <c r="M5" i="5"/>
  <c r="M3" i="5"/>
  <c r="M8" i="5"/>
  <c r="M7" i="5"/>
  <c r="M6" i="5"/>
  <c r="N9" i="5"/>
  <c r="N7" i="5"/>
  <c r="N8" i="5"/>
  <c r="N6" i="5"/>
  <c r="N3" i="5"/>
  <c r="G10" i="5"/>
  <c r="H10" i="5" s="1"/>
  <c r="I10" i="5" s="1"/>
  <c r="G11" i="5"/>
  <c r="H11" i="5" s="1"/>
  <c r="I11" i="5" s="1"/>
  <c r="L3" i="5"/>
  <c r="L7" i="5"/>
  <c r="L6" i="5"/>
  <c r="L5" i="5"/>
  <c r="L4" i="5"/>
  <c r="O4" i="5" s="1"/>
  <c r="O5" i="5" l="1"/>
  <c r="O6" i="5"/>
  <c r="O3" i="5"/>
  <c r="O8" i="5"/>
  <c r="O9" i="5"/>
  <c r="O7" i="5"/>
</calcChain>
</file>

<file path=xl/sharedStrings.xml><?xml version="1.0" encoding="utf-8"?>
<sst xmlns="http://schemas.openxmlformats.org/spreadsheetml/2006/main" count="167" uniqueCount="112">
  <si>
    <t>Rok</t>
  </si>
  <si>
    <t>Cena bytu 3+1</t>
  </si>
  <si>
    <t>měsíčně N</t>
  </si>
  <si>
    <t>Nájem</t>
  </si>
  <si>
    <t>Zisk / měs</t>
  </si>
  <si>
    <t>Zisk / rok</t>
  </si>
  <si>
    <t>Oprávky - Byt</t>
  </si>
  <si>
    <t>1.</t>
  </si>
  <si>
    <t>2.</t>
  </si>
  <si>
    <t>…</t>
  </si>
  <si>
    <t>21.</t>
  </si>
  <si>
    <t>22.</t>
  </si>
  <si>
    <t>23.</t>
  </si>
  <si>
    <t>30.</t>
  </si>
  <si>
    <t>Pojetí VK a zisku</t>
  </si>
  <si>
    <t>Auto</t>
  </si>
  <si>
    <t>HV</t>
  </si>
  <si>
    <t>Finanční</t>
  </si>
  <si>
    <t>Hodnotové</t>
  </si>
  <si>
    <t>Auto - užitné vlastnosti a parametry</t>
  </si>
  <si>
    <t>Pokud mám lepší auto nebo stejné auto a něco navíc</t>
  </si>
  <si>
    <t>Ekonomické</t>
  </si>
  <si>
    <t>Co ostatní? - srovnání s konkurencí apod.</t>
  </si>
  <si>
    <t>Nůž</t>
  </si>
  <si>
    <t>Plán</t>
  </si>
  <si>
    <t>Skutečnost</t>
  </si>
  <si>
    <t>Materiál / ks</t>
  </si>
  <si>
    <t>FN</t>
  </si>
  <si>
    <t>Q</t>
  </si>
  <si>
    <t>Vyhodnocení hospodárnosti</t>
  </si>
  <si>
    <t>Hospodárnost</t>
  </si>
  <si>
    <t>/ Kus</t>
  </si>
  <si>
    <t>úspornost</t>
  </si>
  <si>
    <t>výtěžnost</t>
  </si>
  <si>
    <t>Mat</t>
  </si>
  <si>
    <t>Kapacita</t>
  </si>
  <si>
    <t>Úspora FN</t>
  </si>
  <si>
    <t>PSN</t>
  </si>
  <si>
    <t>SKN</t>
  </si>
  <si>
    <t>ROE</t>
  </si>
  <si>
    <t xml:space="preserve"> =Z / VK</t>
  </si>
  <si>
    <t>%</t>
  </si>
  <si>
    <t>Z</t>
  </si>
  <si>
    <t>VK</t>
  </si>
  <si>
    <t>A</t>
  </si>
  <si>
    <t>B</t>
  </si>
  <si>
    <t>C</t>
  </si>
  <si>
    <t>EAT</t>
  </si>
  <si>
    <t>E</t>
  </si>
  <si>
    <t>S</t>
  </si>
  <si>
    <t>ROS</t>
  </si>
  <si>
    <t>Rentabilita tržeb</t>
  </si>
  <si>
    <t>TOA</t>
  </si>
  <si>
    <t>Obrat aktiv</t>
  </si>
  <si>
    <t>Finanční páka</t>
  </si>
  <si>
    <t>Fin Leverage</t>
  </si>
  <si>
    <t>FL</t>
  </si>
  <si>
    <t>Hot-Dog</t>
  </si>
  <si>
    <t>VNj</t>
  </si>
  <si>
    <t>Cj</t>
  </si>
  <si>
    <t>měs</t>
  </si>
  <si>
    <t>Mj</t>
  </si>
  <si>
    <t>BZ</t>
  </si>
  <si>
    <t>Z=0</t>
  </si>
  <si>
    <t>V=N</t>
  </si>
  <si>
    <t>M=FN</t>
  </si>
  <si>
    <t>Z = Cj*Q-VNj*Q-FN</t>
  </si>
  <si>
    <t>0 = Cj*Q-VNj*Q-FN</t>
  </si>
  <si>
    <t>0 = Q* (Cj-VNj)-FN</t>
  </si>
  <si>
    <t>Qbep=FN/(Cj - VNj)</t>
  </si>
  <si>
    <t>Qbep=FN/Mj</t>
  </si>
  <si>
    <t>Qbep</t>
  </si>
  <si>
    <t>Qz</t>
  </si>
  <si>
    <t>Qz=(FN+Z)/(Cj - VNj)</t>
  </si>
  <si>
    <t>VN</t>
  </si>
  <si>
    <t>T</t>
  </si>
  <si>
    <t>Q?</t>
  </si>
  <si>
    <t>FNa+Vnja*Q = FNb+VNjb*Q</t>
  </si>
  <si>
    <t xml:space="preserve">(FNa-FNb) / (VNjb-Vnja) = Q </t>
  </si>
  <si>
    <t>FN nevyužité</t>
  </si>
  <si>
    <t>Firma - 8 aut</t>
  </si>
  <si>
    <t>FN (nájem)</t>
  </si>
  <si>
    <t>Qmax</t>
  </si>
  <si>
    <t>Únor</t>
  </si>
  <si>
    <t>FNn?</t>
  </si>
  <si>
    <t>FNn = (Qmax-Qsk)*(FN/Qmax)</t>
  </si>
  <si>
    <t>CN</t>
  </si>
  <si>
    <t>FN+750000*VNj=22250000</t>
  </si>
  <si>
    <t>CNb</t>
  </si>
  <si>
    <t>CNa</t>
  </si>
  <si>
    <t>FN+900000*VNj=26000000</t>
  </si>
  <si>
    <t>150 000*VNj = 3 750 000</t>
  </si>
  <si>
    <t>VNj = 3750000/150000</t>
  </si>
  <si>
    <t>FNa = 22 250000 -750 000 * 25</t>
  </si>
  <si>
    <t>4% úspora na palivu</t>
  </si>
  <si>
    <t>800000 měsíčně</t>
  </si>
  <si>
    <t>Bouračka 500000</t>
  </si>
  <si>
    <t>/ - 500000</t>
  </si>
  <si>
    <t>FN+750000*VNj=22550000</t>
  </si>
  <si>
    <t>HotDog</t>
  </si>
  <si>
    <t>Kola</t>
  </si>
  <si>
    <t>Chipsy</t>
  </si>
  <si>
    <t>Z=</t>
  </si>
  <si>
    <t>M</t>
  </si>
  <si>
    <t xml:space="preserve">Tbz = </t>
  </si>
  <si>
    <t>FN / (1-vj)</t>
  </si>
  <si>
    <t>(FN + Z) / (1-vj)</t>
  </si>
  <si>
    <t xml:space="preserve">Zisk 60000 = </t>
  </si>
  <si>
    <t>Z (vánoce)</t>
  </si>
  <si>
    <t>Z rozdíl</t>
  </si>
  <si>
    <t>Růst tržeb</t>
  </si>
  <si>
    <t>Změna struktury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</si>
</sst>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5" formatCode="_-* #,##0\ &quot;Kč&quot;_-;\-* #,##0\ &quot;Kč&quot;_-;_-* &quot;-&quot;??\ &quot;Kč&quot;_-;_-@_-"/>
    <numFmt numFmtId="169" formatCode="_-* #,##0\ _K_č_-;\-* #,##0\ _K_č_-;_-* &quot;-&quot;??\ _K_č_-;_-@_-"/>
    <numFmt numFmtId="172" formatCode="0.0000%"/>
    <numFmt numFmtId="175" formatCode="0.0000"/>
    <numFmt numFmtId="182" formatCode="0.000000000%"/>
    <numFmt numFmtId="183" formatCode="#,##0_ ;\-#,##0\ "/>
    <numFmt numFmtId="186" formatCode="_-* #,##0.00\ &quot;Kč&quot;_-;\-* #,##0.00\ &quot;Kč&quot;_-;_-* &quot;-&quot;????\ &quot;Kč&quot;_-;_-@_-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44" fontId="0" fillId="0" borderId="0" xfId="2" applyFont="1"/>
    <xf numFmtId="165" fontId="0" fillId="0" borderId="0" xfId="2" applyNumberFormat="1" applyFont="1"/>
    <xf numFmtId="165" fontId="0" fillId="0" borderId="0" xfId="0" applyNumberFormat="1"/>
    <xf numFmtId="4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169" fontId="0" fillId="0" borderId="0" xfId="1" applyNumberFormat="1" applyFont="1"/>
    <xf numFmtId="10" fontId="0" fillId="0" borderId="0" xfId="3" applyNumberFormat="1" applyFont="1"/>
    <xf numFmtId="172" fontId="0" fillId="0" borderId="0" xfId="3" applyNumberFormat="1" applyFont="1"/>
    <xf numFmtId="175" fontId="0" fillId="0" borderId="0" xfId="0" applyNumberFormat="1"/>
    <xf numFmtId="182" fontId="0" fillId="0" borderId="0" xfId="0" applyNumberFormat="1"/>
    <xf numFmtId="183" fontId="0" fillId="0" borderId="0" xfId="0" applyNumberFormat="1"/>
    <xf numFmtId="169" fontId="0" fillId="0" borderId="0" xfId="0" applyNumberFormat="1"/>
    <xf numFmtId="186" fontId="0" fillId="0" borderId="0" xfId="0" applyNumberFormat="1"/>
    <xf numFmtId="1" fontId="0" fillId="0" borderId="0" xfId="0" applyNumberFormat="1"/>
    <xf numFmtId="0" fontId="0" fillId="2" borderId="0" xfId="0" applyFill="1"/>
    <xf numFmtId="44" fontId="0" fillId="2" borderId="0" xfId="0" applyNumberFormat="1" applyFill="1"/>
    <xf numFmtId="0" fontId="0" fillId="3" borderId="0" xfId="0" applyFill="1"/>
    <xf numFmtId="44" fontId="0" fillId="3" borderId="0" xfId="2" applyFont="1" applyFill="1"/>
  </cellXfs>
  <cellStyles count="4">
    <cellStyle name="Čárka" xfId="1" builtinId="3"/>
    <cellStyle name="Měna" xfId="2" builtinId="4"/>
    <cellStyle name="Normální" xfId="0" builtinId="0"/>
    <cellStyle name="Procenta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Bod zvratu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BZ_VN_FN!$L$2</c:f>
              <c:strCache>
                <c:ptCount val="1"/>
                <c:pt idx="0">
                  <c:v>VN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BZ_VN_FN!$K$3:$K$9</c:f>
              <c:numCache>
                <c:formatCode>General</c:formatCode>
                <c:ptCount val="7"/>
                <c:pt idx="0">
                  <c:v>0</c:v>
                </c:pt>
                <c:pt idx="1">
                  <c:v>1500</c:v>
                </c:pt>
                <c:pt idx="2">
                  <c:v>3000</c:v>
                </c:pt>
                <c:pt idx="3">
                  <c:v>4500</c:v>
                </c:pt>
                <c:pt idx="4">
                  <c:v>6000</c:v>
                </c:pt>
                <c:pt idx="5">
                  <c:v>7500</c:v>
                </c:pt>
                <c:pt idx="6">
                  <c:v>9000</c:v>
                </c:pt>
              </c:numCache>
            </c:numRef>
          </c:cat>
          <c:val>
            <c:numRef>
              <c:f>BZ_VN_FN!$L$3:$L$9</c:f>
              <c:numCache>
                <c:formatCode>General</c:formatCode>
                <c:ptCount val="7"/>
                <c:pt idx="0">
                  <c:v>0</c:v>
                </c:pt>
                <c:pt idx="1">
                  <c:v>25500</c:v>
                </c:pt>
                <c:pt idx="2">
                  <c:v>51000</c:v>
                </c:pt>
                <c:pt idx="3">
                  <c:v>76500</c:v>
                </c:pt>
                <c:pt idx="4">
                  <c:v>102000</c:v>
                </c:pt>
                <c:pt idx="5">
                  <c:v>127500</c:v>
                </c:pt>
                <c:pt idx="6">
                  <c:v>153000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1A-4E62-B8D1-E2A6CCE6AD2B}"/>
            </c:ext>
          </c:extLst>
        </c:ser>
        <c:ser>
          <c:idx val="1"/>
          <c:order val="1"/>
          <c:tx>
            <c:strRef>
              <c:f>BZ_VN_FN!$M$2</c:f>
              <c:strCache>
                <c:ptCount val="1"/>
                <c:pt idx="0">
                  <c:v>FN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BZ_VN_FN!$K$3:$K$9</c:f>
              <c:numCache>
                <c:formatCode>General</c:formatCode>
                <c:ptCount val="7"/>
                <c:pt idx="0">
                  <c:v>0</c:v>
                </c:pt>
                <c:pt idx="1">
                  <c:v>1500</c:v>
                </c:pt>
                <c:pt idx="2">
                  <c:v>3000</c:v>
                </c:pt>
                <c:pt idx="3">
                  <c:v>4500</c:v>
                </c:pt>
                <c:pt idx="4">
                  <c:v>6000</c:v>
                </c:pt>
                <c:pt idx="5">
                  <c:v>7500</c:v>
                </c:pt>
                <c:pt idx="6">
                  <c:v>9000</c:v>
                </c:pt>
              </c:numCache>
            </c:numRef>
          </c:cat>
          <c:val>
            <c:numRef>
              <c:f>BZ_VN_FN!$M$3:$M$9</c:f>
              <c:numCache>
                <c:formatCode>_-* #\ ##0\ "Kč"_-;\-* #\ ##0\ "Kč"_-;_-* "-"??\ "Kč"_-;_-@_-</c:formatCode>
                <c:ptCount val="7"/>
                <c:pt idx="0">
                  <c:v>40000</c:v>
                </c:pt>
                <c:pt idx="1">
                  <c:v>40000</c:v>
                </c:pt>
                <c:pt idx="2">
                  <c:v>40000</c:v>
                </c:pt>
                <c:pt idx="3">
                  <c:v>40000</c:v>
                </c:pt>
                <c:pt idx="4">
                  <c:v>40000</c:v>
                </c:pt>
                <c:pt idx="5">
                  <c:v>40000</c:v>
                </c:pt>
                <c:pt idx="6">
                  <c:v>40000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1A-4E62-B8D1-E2A6CCE6AD2B}"/>
            </c:ext>
          </c:extLst>
        </c:ser>
        <c:ser>
          <c:idx val="2"/>
          <c:order val="2"/>
          <c:tx>
            <c:strRef>
              <c:f>BZ_VN_FN!$N$2</c:f>
              <c:strCache>
                <c:ptCount val="1"/>
                <c:pt idx="0">
                  <c:v>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BZ_VN_FN!$K$3:$K$9</c:f>
              <c:numCache>
                <c:formatCode>General</c:formatCode>
                <c:ptCount val="7"/>
                <c:pt idx="0">
                  <c:v>0</c:v>
                </c:pt>
                <c:pt idx="1">
                  <c:v>1500</c:v>
                </c:pt>
                <c:pt idx="2">
                  <c:v>3000</c:v>
                </c:pt>
                <c:pt idx="3">
                  <c:v>4500</c:v>
                </c:pt>
                <c:pt idx="4">
                  <c:v>6000</c:v>
                </c:pt>
                <c:pt idx="5">
                  <c:v>7500</c:v>
                </c:pt>
                <c:pt idx="6">
                  <c:v>9000</c:v>
                </c:pt>
              </c:numCache>
            </c:numRef>
          </c:cat>
          <c:val>
            <c:numRef>
              <c:f>BZ_VN_FN!$N$3:$N$9</c:f>
              <c:numCache>
                <c:formatCode>General</c:formatCode>
                <c:ptCount val="7"/>
                <c:pt idx="0">
                  <c:v>0</c:v>
                </c:pt>
                <c:pt idx="1">
                  <c:v>37500</c:v>
                </c:pt>
                <c:pt idx="2">
                  <c:v>75000</c:v>
                </c:pt>
                <c:pt idx="3">
                  <c:v>112500</c:v>
                </c:pt>
                <c:pt idx="4">
                  <c:v>150000</c:v>
                </c:pt>
                <c:pt idx="5">
                  <c:v>187500</c:v>
                </c:pt>
                <c:pt idx="6">
                  <c:v>225000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1A-4E62-B8D1-E2A6CCE6AD2B}"/>
            </c:ext>
          </c:extLst>
        </c:ser>
        <c:ser>
          <c:idx val="3"/>
          <c:order val="3"/>
          <c:tx>
            <c:strRef>
              <c:f>BZ_VN_FN!$O$2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BZ_VN_FN!$K$3:$K$9</c:f>
              <c:numCache>
                <c:formatCode>General</c:formatCode>
                <c:ptCount val="7"/>
                <c:pt idx="0">
                  <c:v>0</c:v>
                </c:pt>
                <c:pt idx="1">
                  <c:v>1500</c:v>
                </c:pt>
                <c:pt idx="2">
                  <c:v>3000</c:v>
                </c:pt>
                <c:pt idx="3">
                  <c:v>4500</c:v>
                </c:pt>
                <c:pt idx="4">
                  <c:v>6000</c:v>
                </c:pt>
                <c:pt idx="5">
                  <c:v>7500</c:v>
                </c:pt>
                <c:pt idx="6">
                  <c:v>9000</c:v>
                </c:pt>
              </c:numCache>
            </c:numRef>
          </c:cat>
          <c:val>
            <c:numRef>
              <c:f>BZ_VN_FN!$O$3:$O$9</c:f>
              <c:numCache>
                <c:formatCode>_-* #\ ##0\ "Kč"_-;\-* #\ ##0\ "Kč"_-;_-* "-"??\ "Kč"_-;_-@_-</c:formatCode>
                <c:ptCount val="7"/>
                <c:pt idx="0">
                  <c:v>-40000</c:v>
                </c:pt>
                <c:pt idx="1">
                  <c:v>-28000</c:v>
                </c:pt>
                <c:pt idx="2">
                  <c:v>-16000</c:v>
                </c:pt>
                <c:pt idx="3">
                  <c:v>-4000</c:v>
                </c:pt>
                <c:pt idx="4">
                  <c:v>8000</c:v>
                </c:pt>
                <c:pt idx="5">
                  <c:v>20000</c:v>
                </c:pt>
                <c:pt idx="6">
                  <c:v>32000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1A-4E62-B8D1-E2A6CCE6A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4746496"/>
        <c:axId val="524746824"/>
      </c:lineChart>
      <c:catAx>
        <c:axId val="52474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4746824"/>
        <c:crosses val="autoZero"/>
        <c:auto val="1"/>
        <c:lblAlgn val="ctr"/>
        <c:lblOffset val="100"/>
        <c:noMultiLvlLbl val="0"/>
      </c:catAx>
      <c:valAx>
        <c:axId val="524746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474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ustomXml" Target="../ink/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77048</xdr:colOff>
      <xdr:row>0</xdr:row>
      <xdr:rowOff>154307</xdr:rowOff>
    </xdr:from>
    <xdr:to>
      <xdr:col>19</xdr:col>
      <xdr:colOff>195574</xdr:colOff>
      <xdr:row>10</xdr:row>
      <xdr:rowOff>154424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36" name="Rukopis 35">
              <a:extLst>
                <a:ext uri="{FF2B5EF4-FFF2-40B4-BE49-F238E27FC236}">
                  <a16:creationId xmlns:a16="http://schemas.microsoft.com/office/drawing/2014/main" id="{910B1E77-A5DC-4AA9-9E54-107728381A67}"/>
                </a:ext>
              </a:extLst>
            </xdr14:cNvPr>
            <xdr14:cNvContentPartPr/>
          </xdr14:nvContentPartPr>
          <xdr14:nvPr macro=""/>
          <xdr14:xfrm>
            <a:off x="8146084" y="154307"/>
            <a:ext cx="3765240" cy="1859760"/>
          </xdr14:xfrm>
        </xdr:contentPart>
      </mc:Choice>
      <mc:Fallback>
        <xdr:pic>
          <xdr:nvPicPr>
            <xdr:cNvPr id="36" name="Rukopis 35">
              <a:extLst>
                <a:ext uri="{FF2B5EF4-FFF2-40B4-BE49-F238E27FC236}">
                  <a16:creationId xmlns:a16="http://schemas.microsoft.com/office/drawing/2014/main" id="{910B1E77-A5DC-4AA9-9E54-107728381A6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137084" y="145307"/>
              <a:ext cx="3782880" cy="18774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26458</xdr:colOff>
      <xdr:row>0</xdr:row>
      <xdr:rowOff>125940</xdr:rowOff>
    </xdr:from>
    <xdr:to>
      <xdr:col>22</xdr:col>
      <xdr:colOff>436563</xdr:colOff>
      <xdr:row>16</xdr:row>
      <xdr:rowOff>179916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54F7F21-CE4A-4058-91FC-813B1881F9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42312</xdr:colOff>
      <xdr:row>12</xdr:row>
      <xdr:rowOff>860</xdr:rowOff>
    </xdr:from>
    <xdr:to>
      <xdr:col>6</xdr:col>
      <xdr:colOff>565968</xdr:colOff>
      <xdr:row>14</xdr:row>
      <xdr:rowOff>163603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14" name="Rukopis 13">
              <a:extLst>
                <a:ext uri="{FF2B5EF4-FFF2-40B4-BE49-F238E27FC236}">
                  <a16:creationId xmlns:a16="http://schemas.microsoft.com/office/drawing/2014/main" id="{4DCF9270-F02E-4E83-8021-4D19D6F26D41}"/>
                </a:ext>
              </a:extLst>
            </xdr14:cNvPr>
            <xdr14:cNvContentPartPr/>
          </xdr14:nvContentPartPr>
          <xdr14:nvPr macro=""/>
          <xdr14:xfrm>
            <a:off x="2513520" y="2223360"/>
            <a:ext cx="2820240" cy="533160"/>
          </xdr14:xfrm>
        </xdr:contentPart>
      </mc:Choice>
      <mc:Fallback>
        <xdr:pic>
          <xdr:nvPicPr>
            <xdr:cNvPr id="14" name="Rukopis 13">
              <a:extLst>
                <a:ext uri="{FF2B5EF4-FFF2-40B4-BE49-F238E27FC236}">
                  <a16:creationId xmlns:a16="http://schemas.microsoft.com/office/drawing/2014/main" id="{4DCF9270-F02E-4E83-8021-4D19D6F26D4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504520" y="2214720"/>
              <a:ext cx="2837880" cy="5508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3072" max="1920" units="cm"/>
          <inkml:channel name="Y" type="integer" min="-418" max="1310" units="cm"/>
          <inkml:channel name="T" type="integer" max="2.14748E9" units="dev"/>
        </inkml:traceFormat>
        <inkml:channelProperties>
          <inkml:channelProperty channel="X" name="resolution" value="56.72727" units="1/cm"/>
          <inkml:channelProperty channel="Y" name="resolution" value="34.56" units="1/cm"/>
          <inkml:channelProperty channel="T" name="resolution" value="1" units="1/dev"/>
        </inkml:channelProperties>
      </inkml:inkSource>
      <inkml:timestamp xml:id="ts0" timeString="2022-03-05T11:35:34.311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1487 630 0,'25'0'47,"0"0"0,-12 0-32,-1 0 1,1 12-16,25 14 16,-26-26-16,14 0 15,-1 0-15,25 0 16,13 0-16,-12 0 15,12 0-15,-13 0 16,13 0-16,-38 0 16,26 0-16,12 0 15,-13 0-15,13 0 16,-13 37-16,-24-37 16,62 25-1,-76-25-15,39 0 16,-1 0-16,1 26 15,12-1 1,-13-25-16,26 38 16,12-38-16,13 0 15,-1 37-15,-37-37 16,-12 0-16,12 0 16,0 26-16,-38-26 15,25 0-15,-24 0 16,49 25-16,-50-13 15,51-12-15,12 26 16,-50-26-16,63 0 16,-51 0-16,13 37 15,38-37-15,-13 26 16,-12-26-16,24 0 16,14 37-16,-13-37 15,-1 0-15,1 0 16,0 0-16,-13 0 15,-12 0-15,-26 0 16,13 0 0,-12 0-16,12 0 0,-13 0 15,13 0 1,-13 0-16,13 0 16,-37 0-16,24 0 15,13 0-15,25 0 16,-25 0-16,-12 0 15,49 0-15,-74 0 16,62 0-16,-25 0 16,25 0-16,-25 0 15,-25 0-15,0-12 16,62 12-16,-37-25 16,-25 25-16,0 0 15,38 0-15,-26 0 16,0 0-16,13-38 15,13 25-15,-26 1 16,1 12-16,50 0 16,-38-38-16,-13 38 15,51 0-15,-63-13 16,-1 1-16,-11 12 16,36 0-16,-36 0 15,-1 0-15,25 0 16,13-26-16,-12 26 15,12 0 1,25 0-16,50-25 16,-62 13-16,75 12 15,-88-38-15,101 0 16,-63 0-16,0 38 16,12 0-16,-50-25 15,38-13-15,-38 38 16,-13 0-16,51 0 15,-38-25-15,-13 25 16,13-38-16,0 13 16,-12 25-16,12 0 15,-13 0-15,-25 0 16,1 0-16,24-12 16,-50-1-16,50 13 15,-24 0-15,-1 0 16,38 0-16,-13 0 15,13 0-15,-12 0 16,12 0-16,-13 0 16,13 0-16,-38 0 15,26 0-15,12 0 16,-26 0-16,1 0 16,13 0-16,-26 0 15,0 0 1,0 0-16,0 0 15,1 0 1</inkml:trace>
  <inkml:trace contextRef="#ctx0" brushRef="#br0" timeOffset="1503">6161 1184 0,'0'13'47,"0"37"-31,0 13-16,0-13 15,0 51-15,0 0 16,0 0-16,-25 37 16,-13-12-16,38 26 15,0 49-15,0 1 16,0-1-16,0 51 16,0 0-16,0-50 15,0 37-15,0-87 16,0-1-16,0 0 15,0-38-15,0 38 16,0-100-16,0 87 16,0-37-16,0-38 15,0-38 1,0 51-16,13-38 16,-13-13-16,0 25 15,0-24-15,0-1 16,25 0-16,-25 0 15,0 0-15,0 1 16,0-1 0,0 0-1,0 0 1,0 0 0</inkml:trace>
  <inkml:trace contextRef="#ctx0" brushRef="#br0" timeOffset="3224">4485 0 0,'0'25'62,"0"51"-46,0-1-16,0 39 15,0-14-15,0 1 16,0 25-16,0-50 16,0 24-16,0-37 15,0-37-15,-12-1 16,12 25-16,0-25 16,0 1-16,0-1 15,0 0-15,0 0 16,0 0-16,0 1 15,0-1 1</inkml:trace>
  <inkml:trace contextRef="#ctx0" brushRef="#br0" timeOffset="4776">4473 239 0,'0'0'0,"25"0"78,0 38-78,0-13 16,64-12-16,-52 25 16,1-13-16,25 13 15,-12-38-15,-26 25 16,13 13-16,25-26 16,-63 1-16,50-13 15,-12 25-15,-13 0 16,0-25-16,0 25 15,38 1 1,-37 11-16,11-24 16,-24-13-1,25 13-15,-13 24 16,-25-12-16,25 1 16,0 24-1,-12-37-15,12 12 16,-12-13-16,-13 14 15,12-14-15,1-37 266,-13-38-266,0 13 16,0-13-16,0 12 15,38-49-15,-38 37 16,0 12-16,0 1 16,0 25-16,0-1 15,0 1-15,0 0 16,0 0 15,0 0-31,0-1 16,0 1-16,25 0 15,-25 0-15,0 0 16,0 12-16,13 0 16,-13 1 15</inkml:trace>
  <inkml:trace contextRef="#ctx0" brushRef="#br0" timeOffset="5680">5846 416 0,'13'0'78,"50"0"-62,-13 0-16,13 0 16,-12 0-16,-26 0 15,0 0-15,0 0 16,38 25-16,-38-25 31,-12 12-31,0 1 16</inkml:trace>
  <inkml:trace contextRef="#ctx0" brushRef="#br0" timeOffset="6712">6791 277 0,'-12'0'63,"-26"0"-47,25 13-16,-12 12 15,12-13-15,1 14 16,-26-1-16,38 0 15,-25 0-15,0 38 16,25-38-16,75 278 94,-50-303-94,1 25 15,-1-25 1,0 25 0,0-25-1,0 0 1,1 0 0,-1 0 15,-13 0-16,-12-38-15,0-12 16,0-26-16,0 26 16,0-13-16,0 38 15,0-26-15,0-12 16,0 26-16,0-1 16,0 13-16,0-26 15,0 26-15,0 0 16,0 0-1,0 12-15,-12 0 16,-1-24 0,1 24-1,-1 13 1,0 0 0,-12 0-1,13-13 1,-1 1-16,-12 12 15,0 0 1,-1 0 0,1 0-1,0 0 1</inkml:trace>
  <inkml:trace contextRef="#ctx0" brushRef="#br0" timeOffset="7736">7245 176 0,'-13'25'62,"-25"76"-46,38-38-16,0-12 16,0-1-16,0-25 15,0 0-15,0 1 16,0-1-16,0 0 16,0 0-16,0-12 15,0-1-15,0 14 16,0-14 62</inkml:trace>
  <inkml:trace contextRef="#ctx0" brushRef="#br0" timeOffset="8904">6980 113 0,'13'0'16,"-1"-12"0,26-1 15,-25 13-15,-1 13-16,39-13 15,113 0 63,-101 25-62,-26-13 0,-24 1-1,12 12-15,0 0 16,0 1-1,13 11 1,-38-11 0,38-1-16,-25 25 15,-1-12 1,-12-13-16,13 13 16,-1-25-1,14 12 1,-26 0 31,0 0-32,0 0 1,-26 1 15,26-14 0,-25-12-31,0 25 16,0-25-16,0 0 16,-38 0-16,37 0 15,1 0-15,-25 26 16,25-26 0,-38 0-1,25 12 1,25 1-16,-12-13 15,-13 12 1,26 1-16,-13-13 16,-1 0-16,-11 12 15,24 1-15,-12-13 32</inkml:trace>
  <inkml:trace contextRef="#ctx0" brushRef="#br0" timeOffset="9696">7736 252 0,'0'12'63,"0"89"-48,-25-76-15,0 38 16,25 38-16,0-76 16,0 26-16,-26-13 15,26 12-15,0-25 16</inkml:trace>
  <inkml:trace contextRef="#ctx0" brushRef="#br0" timeOffset="10616">7597 252 0,'0'-13'47,"26"13"-31,-1 0-16,0 0 16,25 0-1,13 0 1,-37 0-16,-1 0 15,0 0-15,0 0 16,0 0-16,-12 0 16,12 0-1,26 0 63,-39 0-31,-12 13-47,0 12 16,0 0 0,0 0-1,0-12-15,-12 0 16,12-1-1,-26 13 1,1-25 0,0 0-1,12 0 1,1 13-16,-1-13 16,-25 0-16,13 0 15,0 25-15,0-25 16,0 0-1,12 0 1,0 13-16,1-1 16</inkml:trace>
  <inkml:trace contextRef="#ctx0" brushRef="#br0" timeOffset="12601">0 894 0,'0'-12'47,"13"12"-47,12 0 15,38 0 1,-38 0-16,0 0 16,26 0-16,-26 0 15,13 0-15,12-26 16,1 26-16,12 0 16,-38 0-16,13 0 15,-1 0-15,-11 0 16,-1 0-16,25 0 15,-25 0-15,38 0 16,-12 0-16,12 0 16,-13 0-1,13 0-15,25 0 16,-25 0-16,-12 0 16,12 0-16,-13 0 15,13 0-15,-25 0 16,-13 26-16,13-14 15,50 39-15,-50-1 16,25-50-16,0 25 16,38-25-16,-38 38 15,-13-38-15,51 0 16,0 25-16,-38-25 16,25 0-16,25 38 15,-50-38-15,38 38 16,-25-38-16,24 38 15,-49-38-15,-26 25 16,0-25-16,26 0 16,-39 12-16,1 1 15,12-13-15,-25 13 16,13-13-16,12 0 16,-13 12-16,1 1 15,12-13 1,-12 0-16,12 0 15,0 0 1,0 0-16,1 0 16,-1 0-16,0 0 78,0 0-63</inkml:trace>
  <inkml:trace contextRef="#ctx0" brushRef="#br0" timeOffset="13320">3200 1159 0,'38'0'94,"-13"0"-79,1 0-15,49 12 16,-62 1-16,25 0 16,-26-13-1,1 12 63,-127 89-46,77-76-32,-39 26 15,26-39 1,24 13-16,1 1 16</inkml:trace>
  <inkml:trace contextRef="#ctx0" brushRef="#br0" timeOffset="14329">5292 1449 0,'0'12'78,"0"13"-62,0 1-16,0-14 15,12 1-15,-12 12 31,13 13-31,0-26 16,-13 14 0,12 11 15,1-24 0,-13 12-15,0-12-1,0 12 17,0-12 15,-13-1-47,13 1 15,-25-13-15,0 0 16,0 0-16,-1 0 15,1 0-15,-25 0 16,-13-13 0,38-25-1,-26 26 1,26-13-16,0-13 16,25 25 15</inkml:trace>
  <inkml:trace contextRef="#ctx0" brushRef="#br0" timeOffset="14919">5292 1486 0,'50'0'94,"-25"0"-79,1 0-15,74 13 110</inkml:trace>
  <inkml:trace contextRef="#ctx0" brushRef="#br0" timeOffset="15808">5456 1650 0,'0'13'93,"0"-1"-93,0 14 16,0-1-16,0 0 16,37 0-1,-37 0-15,0-12 16,26-13-1,-14 13 1,1-1-16,88-87 94,-101 49-94,0 14 15,0-13 17,0-1-17,0 1 1,0 0 0,0-13-1,-13 26-15,0-1 16,-12-12-1,-13 12 1,26 1 0,-26-1 15,38 0-15,-25 13-1,0 0 1,-13 0-16,38 26 15,-13-14 1,1 1-16,12 12 31,-13-12-31,0-13 32</inkml:trace>
  <inkml:trace contextRef="#ctx0" brushRef="#br0" timeOffset="16816">5796 1776 0,'-51'0'62,"51"13"-46,0 12 0,0 0-1,0 0 1,0 1 0,0-1 15,0-13-16,13-12 1,12 0 15,0-25 1,-12 25-17,-13-25 1,13 12-1,-1 1-15,-12-13 16,0-13 0,-25 13 15,12 25-15,1 0-1,-26-13 1,25 0 31,-12 13 15</inkml:trace>
  <inkml:trace contextRef="#ctx0" brushRef="#br0" timeOffset="17672">5808 1776 0,'38'13'47,"-38"37"-16,0-37 0,0-1-31,0 14 16,0-1-1,0-13-15,13 1 16,-1 0 0,1-1-1,25-12 63,-13-25-31,-25 0-31,0 0-16,0-1 16,-25 1-16,0-25 15,12 37 16,0 1-31,13-1 16,-12 13 62,-1 0-78,1 0 16,12 25 15</inkml:trace>
  <inkml:trace contextRef="#ctx0" brushRef="#br0" timeOffset="18600">5960 1915 0,'12'-13'110,"1"13"-95,-1 13-15,14-1 16,-14 1 0,114 50 62,-113-63-16,-13-38-46,0 26 0,0-14-16,0 14 15,-25 12-15,12 0 16,0-13-1,-12 13 1,13 0-16,-1-12 16,0-1-1,-37 13 1,25 0 0,0 0-16,12 0 15,0 0-15,-12 0 31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3-05T16:38:40.896"/>
    </inkml:context>
    <inkml:brush xml:id="br0">
      <inkml:brushProperty name="width" value="0.05" units="cm"/>
      <inkml:brushProperty name="height" value="0.05" units="cm"/>
      <inkml:brushProperty name="color" value="#66CC00"/>
      <inkml:brushProperty name="ignorePressure" value="1"/>
    </inkml:brush>
  </inkml:definitions>
  <inkml:trace contextRef="#ctx0" brushRef="#br0">0 365</inkml:trace>
  <inkml:trace contextRef="#ctx0" brushRef="#br0" timeOffset="2611.923">117 218,'18'0,"25"0,36 0,34 0,28 0,10 0,0 0,-14 0,-13 0,-14 0,-17 0,-11 0,-15 0,-8 0,-10 0,-8 0,-5 0,-5 0,-2 0,-7 3,-3 3,-1 0,2 5,2 0,10 6,5 4,3 3,-2-2,-3-4,0-2,-3-2,3 1,0-1,-1-3,7 1,13 7,6 0,12 3,16 4,14 5,9-3,-2 1,-14-4,-18-2,-11-4,-10-5,-10-1,-4-2,-2-3,-5-3,-2 3,-2 0,-2-2,0 4,0 0,0-2,0-2,7-3,1-1,-2-1,-1-1,-2 0,-1 0,-1-1,0 1,-1 0,0-1,5 1,2 0,7 0,1 0,4 0,-2 0,-4 0,11 0,0 0,2 0,13 0,4 0,2 0,-8 0,-3 0,-8 0,-8 0,-1 0,-5 0,4 0,-1-2,3-2,-3 1,4 1,5 0,2-2,-8-2,-7-1,3 1,-2 2,1-1,-6-2,-3-1,1 0,1-2,0 1,7 1,0-1,-1-1,-2-3,-4-4,0-2,7-6,-1 0,-3-1,4-2,4 3,0 1,-4 4,-8 2,-4 5,-2 3,-3 5,-2 2,9 2,3 2,2-1,-2 1,4 0,15 0,4-1,6-2,8-4,-4 0,0 0,-7-6,-10-1,-7 2,-7 2,-4 3,-6 3,-2 1,0 2,0-5,1-1,1 0,1 2,1 1,0-4,1-1,-1 1,1 2,-1 2,1 1,2-1,-2-4,0 1,-2 0,1 2,0 1,-3 2,0 0,0 1,0-5,-3-1</inkml:trace>
  <inkml:trace contextRef="#ctx0" brushRef="#br0" timeOffset="3815.4155">7511 12,'0'-2,"5"-2,7 1,3 1,0 2,4 5,2 3,2 1,0 1,-1 2,-1-2,0 5,-1 3,-5 3,-4 3,-4 5,-16 5,-14-1,-8 0,-1-5,2-3,4-7,1-1,0-3,4-2,4 0,1 0,2 0,-3-1,-2-3,1-3</inkml:trace>
  <inkml:trace contextRef="#ctx0" brushRef="#br0" timeOffset="6722.1735">397 365,'0'-2,"10"-2,21 1,35 1,26 0,28 0,15 2,16 0,1 0,-5 0,-7 0,-13 0,-20 0,-16 0,-13 0,0 0,1 0,15 5,2 2,9 7,2 1,3-2,0 2,-3-1,2 3,-8 0,-8-3,-4 0,-4 1,-2 3,-4-2,-5 5,-2-3,-10 2,-1 2,-7-3,3 1,-2-1,1-1,-2-1,0-4,-5-3,3 0,4 0,3 5,4 5,3-1,12 4,3 3,0-3,-11-5,4-6,0-5,-2 4,8 0,-4-2,-7-2,-8-3,-3-2,-2-1,-4-1,1 0,1 0,5-1,8 1,7 0,8-1,2 1,2-2,4-4,1-3,-12-2,-9 0,-9 2,-8 3,-8 3,2-7,-4 0,3 0,-3 3,-3 2,-4 2,-2-3,-3-2,-1 2,-1 1,0 2,0 1,-3 1,-3-2,-3 0,0 0,2 1,2 0,2 1,1 1,2 0,0 0,3-3,-1-2,-1-1,-6 0</inkml:trace>
  <inkml:trace contextRef="#ctx0" brushRef="#br0" timeOffset="7920.4411">6996 629,'3'0,"5"0,7 3,6 0,6 3,2 2,1 1,4-3,3-1,-1-2,-3-1,-1-1,0-1,-1 0,0-1,2 6,-3 2,-1 4,0 0,0-1,-6 0,-6 1,-8 3,-24 2,-9 1,-8 0,-1-1,-2 0,2-3,1-3,2 3,1 0,0 3,0-1,0-4,0 1,0 5,0-2,2 0,6-3</inkml:trace>
  <inkml:trace contextRef="#ctx0" brushRef="#br0" timeOffset="11559.9766">294 394,'0'-2,"5"-1,7 0,8 0,17 2,6 4,9 8,15 9,19 9,14-1,11-5,9 2,4-5,3 1,-9-4,-13-5,-12 3,-6-1,1 0,-6-1,-4 6,-4-1,-2 2,-2-2,-7-5,5 3,0-1,0-4,8-2,12 3,16 3,9 2,14-3,6 4,-4-1,2 4,0-1,-3-5,0 4,8-3,3 5,3-3,-8-3,4 3,-2-2,-2 4,2-1,15 4,7-3,1-4,-5-5,-16-5,-4-3,-12-1,0-3,-9 1,-14-1,-11 0,-10 0,-14 1,-5-1,-3 1,2 0,1 0,-5 0,2 0,-5 0,-8 0,-6 0,-5 0,-2 0,6 0,1 0,0 0,-3 0,-4 0,-1 0,0 0,-4 3,0 5,-2 5,0-1,1 3,2-1,0 2,2-2,1 2,1-2,-3 0,-3-1,-4-2,1-3,1-3,2-2,2-2,1-1,-1 0,-2-4,-4 0,1 1,-1-3,-2-2,-3 1</inkml:trace>
  <inkml:trace contextRef="#ctx0" brushRef="#br0" timeOffset="12628.955">7511 1114,'5'-2,"7"-1,6 0,10 0,5 2,3-1,-1 2,-1 0,-1 0,-1 0,-4 0,-6 8,-15 4,-8 6,-12 4,-9 9,0 2,4 5,4 0,5-2,4-4,2-1,3-1,1-2,-1-4</inkml:trace>
</inkml: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32AC8-B7F7-45BB-A93C-B469EB4510E9}">
  <dimension ref="A1:M15"/>
  <sheetViews>
    <sheetView zoomScale="140" zoomScaleNormal="140" workbookViewId="0">
      <selection activeCell="E6" sqref="E6"/>
    </sheetView>
  </sheetViews>
  <sheetFormatPr defaultRowHeight="14.5" x14ac:dyDescent="0.35"/>
  <cols>
    <col min="1" max="1" width="4.90625" bestFit="1" customWidth="1"/>
    <col min="2" max="2" width="12.6328125" bestFit="1" customWidth="1"/>
    <col min="3" max="4" width="13.6328125" bestFit="1" customWidth="1"/>
    <col min="5" max="5" width="8.81640625" bestFit="1" customWidth="1"/>
    <col min="6" max="6" width="9.90625" bestFit="1" customWidth="1"/>
    <col min="7" max="7" width="10.90625" bestFit="1" customWidth="1"/>
    <col min="8" max="8" width="9.90625" bestFit="1" customWidth="1"/>
    <col min="9" max="9" width="2.26953125" customWidth="1"/>
    <col min="10" max="10" width="4.1796875" customWidth="1"/>
    <col min="13" max="13" width="13.6328125" bestFit="1" customWidth="1"/>
  </cols>
  <sheetData>
    <row r="1" spans="1:13" x14ac:dyDescent="0.35">
      <c r="A1" t="s">
        <v>0</v>
      </c>
      <c r="B1" t="s">
        <v>1</v>
      </c>
      <c r="C1">
        <v>30</v>
      </c>
      <c r="D1" t="s">
        <v>2</v>
      </c>
      <c r="E1" t="s">
        <v>3</v>
      </c>
      <c r="F1" t="s">
        <v>4</v>
      </c>
      <c r="G1" t="s">
        <v>5</v>
      </c>
    </row>
    <row r="2" spans="1:13" x14ac:dyDescent="0.35">
      <c r="A2">
        <v>2000</v>
      </c>
      <c r="B2" s="2">
        <v>1500000</v>
      </c>
      <c r="C2" s="2">
        <f>B2/C1</f>
        <v>50000</v>
      </c>
      <c r="D2" s="3">
        <f>C2/12</f>
        <v>4166.666666666667</v>
      </c>
      <c r="E2" s="2">
        <v>8000</v>
      </c>
      <c r="F2" s="3">
        <f>E2-D2</f>
        <v>3833.333333333333</v>
      </c>
      <c r="G2" s="3">
        <f>F2*12</f>
        <v>46000</v>
      </c>
      <c r="H2" s="3">
        <f>0.2*G2</f>
        <v>9200</v>
      </c>
      <c r="J2" s="5"/>
      <c r="K2" s="8" t="s">
        <v>6</v>
      </c>
      <c r="L2" s="8"/>
      <c r="M2" s="5"/>
    </row>
    <row r="3" spans="1:13" x14ac:dyDescent="0.35">
      <c r="L3" s="6" t="s">
        <v>7</v>
      </c>
      <c r="M3" s="1">
        <v>50000</v>
      </c>
    </row>
    <row r="4" spans="1:13" x14ac:dyDescent="0.35">
      <c r="A4">
        <v>2022</v>
      </c>
      <c r="E4">
        <v>15000</v>
      </c>
      <c r="F4" s="3">
        <f>E4-D2</f>
        <v>10833.333333333332</v>
      </c>
      <c r="G4" s="3">
        <f>F4*12</f>
        <v>129999.99999999999</v>
      </c>
      <c r="H4" s="3">
        <f>0.2*G4</f>
        <v>26000</v>
      </c>
      <c r="L4" s="7" t="s">
        <v>8</v>
      </c>
      <c r="M4" s="1">
        <v>50000</v>
      </c>
    </row>
    <row r="5" spans="1:13" x14ac:dyDescent="0.35">
      <c r="A5">
        <v>2022</v>
      </c>
      <c r="B5" s="2">
        <v>6000000</v>
      </c>
      <c r="C5" s="3">
        <f>B5/C1</f>
        <v>200000</v>
      </c>
      <c r="D5" s="3">
        <f>C5/12</f>
        <v>16666.666666666668</v>
      </c>
      <c r="E5">
        <v>15000</v>
      </c>
      <c r="F5" s="3">
        <f>E5-D5</f>
        <v>-1666.6666666666679</v>
      </c>
      <c r="G5" s="3">
        <f>F5*12</f>
        <v>-20000.000000000015</v>
      </c>
      <c r="L5" s="7" t="s">
        <v>9</v>
      </c>
      <c r="M5" s="1"/>
    </row>
    <row r="6" spans="1:13" x14ac:dyDescent="0.35">
      <c r="L6" s="7" t="s">
        <v>10</v>
      </c>
      <c r="M6" s="1">
        <v>50000</v>
      </c>
    </row>
    <row r="7" spans="1:13" x14ac:dyDescent="0.35">
      <c r="C7" s="1">
        <f>(6000000-21*50000)/(30-21)</f>
        <v>550000</v>
      </c>
      <c r="D7" s="4">
        <f>C7/12</f>
        <v>45833.333333333336</v>
      </c>
      <c r="L7" s="7" t="s">
        <v>11</v>
      </c>
      <c r="M7" s="1">
        <v>200000</v>
      </c>
    </row>
    <row r="8" spans="1:13" x14ac:dyDescent="0.35">
      <c r="L8" s="7" t="s">
        <v>12</v>
      </c>
      <c r="M8" s="1">
        <v>200000</v>
      </c>
    </row>
    <row r="9" spans="1:13" x14ac:dyDescent="0.35">
      <c r="L9" s="7" t="s">
        <v>9</v>
      </c>
    </row>
    <row r="10" spans="1:13" x14ac:dyDescent="0.35">
      <c r="L10" s="7" t="s">
        <v>13</v>
      </c>
      <c r="M10" s="1">
        <v>200000</v>
      </c>
    </row>
    <row r="11" spans="1:13" x14ac:dyDescent="0.35">
      <c r="L11" s="7"/>
    </row>
    <row r="12" spans="1:13" x14ac:dyDescent="0.35">
      <c r="L12" s="7"/>
    </row>
    <row r="13" spans="1:13" x14ac:dyDescent="0.35">
      <c r="L13" s="7"/>
    </row>
    <row r="14" spans="1:13" x14ac:dyDescent="0.35">
      <c r="L14" s="7"/>
    </row>
    <row r="15" spans="1:13" x14ac:dyDescent="0.35">
      <c r="L15" s="7"/>
    </row>
  </sheetData>
  <mergeCells count="1">
    <mergeCell ref="K2:L2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8894A-2CCE-448A-B029-A04A208B2F2C}">
  <dimension ref="A3:E7"/>
  <sheetViews>
    <sheetView zoomScale="170" zoomScaleNormal="170" workbookViewId="0">
      <selection activeCell="D8" sqref="D8"/>
    </sheetView>
  </sheetViews>
  <sheetFormatPr defaultRowHeight="14.5" x14ac:dyDescent="0.35"/>
  <cols>
    <col min="1" max="1" width="10.08984375" bestFit="1" customWidth="1"/>
    <col min="2" max="2" width="30.90625" bestFit="1" customWidth="1"/>
    <col min="3" max="4" width="12.26953125" bestFit="1" customWidth="1"/>
    <col min="5" max="5" width="10.90625" bestFit="1" customWidth="1"/>
  </cols>
  <sheetData>
    <row r="3" spans="1:5" x14ac:dyDescent="0.35">
      <c r="B3" t="s">
        <v>14</v>
      </c>
    </row>
    <row r="4" spans="1:5" x14ac:dyDescent="0.35">
      <c r="C4">
        <v>0</v>
      </c>
      <c r="D4">
        <v>1</v>
      </c>
      <c r="E4" t="s">
        <v>16</v>
      </c>
    </row>
    <row r="5" spans="1:5" x14ac:dyDescent="0.35">
      <c r="A5" t="s">
        <v>17</v>
      </c>
      <c r="B5" t="s">
        <v>15</v>
      </c>
      <c r="C5" s="2">
        <v>8000000</v>
      </c>
      <c r="D5" s="2">
        <v>8500000</v>
      </c>
      <c r="E5" s="3">
        <f>D5-C5</f>
        <v>500000</v>
      </c>
    </row>
    <row r="6" spans="1:5" x14ac:dyDescent="0.35">
      <c r="A6" t="s">
        <v>18</v>
      </c>
      <c r="B6" t="s">
        <v>19</v>
      </c>
      <c r="E6" t="s">
        <v>20</v>
      </c>
    </row>
    <row r="7" spans="1:5" x14ac:dyDescent="0.35">
      <c r="A7" t="s">
        <v>21</v>
      </c>
      <c r="B7" t="s">
        <v>19</v>
      </c>
      <c r="D7" t="s">
        <v>22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EDFFC-2F65-47B7-8F1C-361D80281268}">
  <dimension ref="A2:I12"/>
  <sheetViews>
    <sheetView zoomScale="120" zoomScaleNormal="120" workbookViewId="0">
      <selection activeCell="A12" sqref="A12"/>
    </sheetView>
  </sheetViews>
  <sheetFormatPr defaultRowHeight="14.5" x14ac:dyDescent="0.35"/>
  <cols>
    <col min="2" max="2" width="11.26953125" bestFit="1" customWidth="1"/>
    <col min="3" max="4" width="14.81640625" bestFit="1" customWidth="1"/>
    <col min="5" max="5" width="9.81640625" bestFit="1" customWidth="1"/>
    <col min="6" max="6" width="9.453125" bestFit="1" customWidth="1"/>
    <col min="7" max="7" width="12.6328125" bestFit="1" customWidth="1"/>
  </cols>
  <sheetData>
    <row r="2" spans="1:9" x14ac:dyDescent="0.35">
      <c r="B2" t="s">
        <v>23</v>
      </c>
      <c r="C2" t="s">
        <v>24</v>
      </c>
      <c r="D2" t="s">
        <v>25</v>
      </c>
      <c r="G2" t="s">
        <v>30</v>
      </c>
    </row>
    <row r="3" spans="1:9" x14ac:dyDescent="0.35">
      <c r="B3" t="s">
        <v>26</v>
      </c>
      <c r="C3" s="1">
        <v>150</v>
      </c>
      <c r="D3" s="1">
        <v>3700000</v>
      </c>
      <c r="E3" s="4">
        <f>D3/D5</f>
        <v>148</v>
      </c>
      <c r="F3" t="s">
        <v>34</v>
      </c>
      <c r="G3" s="4">
        <f>C3-E3</f>
        <v>2</v>
      </c>
      <c r="H3" t="s">
        <v>31</v>
      </c>
      <c r="I3" t="s">
        <v>32</v>
      </c>
    </row>
    <row r="4" spans="1:9" x14ac:dyDescent="0.35">
      <c r="B4" t="s">
        <v>27</v>
      </c>
      <c r="C4" s="1">
        <v>1050000</v>
      </c>
      <c r="D4" s="1">
        <v>1020000</v>
      </c>
      <c r="F4" t="s">
        <v>35</v>
      </c>
      <c r="G4" s="4">
        <f>C10-D10</f>
        <v>1.75</v>
      </c>
      <c r="H4" t="s">
        <v>31</v>
      </c>
      <c r="I4" t="s">
        <v>33</v>
      </c>
    </row>
    <row r="5" spans="1:9" x14ac:dyDescent="0.35">
      <c r="B5" t="s">
        <v>28</v>
      </c>
      <c r="C5">
        <v>24000</v>
      </c>
      <c r="D5">
        <v>25000</v>
      </c>
      <c r="F5" t="s">
        <v>36</v>
      </c>
      <c r="G5" s="4">
        <f>C12/D5</f>
        <v>1.2</v>
      </c>
      <c r="H5" t="s">
        <v>31</v>
      </c>
      <c r="I5" t="s">
        <v>32</v>
      </c>
    </row>
    <row r="6" spans="1:9" x14ac:dyDescent="0.35">
      <c r="G6" s="4">
        <f>SUM(G3:G5)</f>
        <v>4.95</v>
      </c>
    </row>
    <row r="8" spans="1:9" x14ac:dyDescent="0.35">
      <c r="A8" t="s">
        <v>29</v>
      </c>
    </row>
    <row r="10" spans="1:9" x14ac:dyDescent="0.35">
      <c r="C10" s="4">
        <f>C4/C5</f>
        <v>43.75</v>
      </c>
      <c r="D10" s="4">
        <f>C4/D5</f>
        <v>42</v>
      </c>
      <c r="F10" t="s">
        <v>37</v>
      </c>
      <c r="G10" s="4">
        <f>C3+C4/C5</f>
        <v>193.75</v>
      </c>
    </row>
    <row r="11" spans="1:9" x14ac:dyDescent="0.35">
      <c r="F11" t="s">
        <v>38</v>
      </c>
      <c r="G11" s="4">
        <f>E3+D4/D5</f>
        <v>188.8</v>
      </c>
    </row>
    <row r="12" spans="1:9" x14ac:dyDescent="0.35">
      <c r="C12" s="4">
        <f>C4-D4</f>
        <v>30000</v>
      </c>
      <c r="G12" s="4">
        <f>G10-G11</f>
        <v>4.9499999999999886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48F60-AF7D-43C3-8947-6922427B68E2}">
  <dimension ref="B2:K14"/>
  <sheetViews>
    <sheetView zoomScale="140" zoomScaleNormal="140" workbookViewId="0">
      <selection activeCell="J12" sqref="J12"/>
    </sheetView>
  </sheetViews>
  <sheetFormatPr defaultRowHeight="14.5" x14ac:dyDescent="0.35"/>
  <cols>
    <col min="3" max="3" width="13.54296875" bestFit="1" customWidth="1"/>
    <col min="4" max="4" width="13.6328125" bestFit="1" customWidth="1"/>
    <col min="6" max="6" width="14.54296875" bestFit="1" customWidth="1"/>
    <col min="7" max="7" width="10" bestFit="1" customWidth="1"/>
    <col min="8" max="8" width="12.1796875" bestFit="1" customWidth="1"/>
    <col min="9" max="9" width="7.453125" bestFit="1" customWidth="1"/>
    <col min="10" max="10" width="6.81640625" bestFit="1" customWidth="1"/>
    <col min="11" max="11" width="12.81640625" customWidth="1"/>
  </cols>
  <sheetData>
    <row r="2" spans="2:11" x14ac:dyDescent="0.35">
      <c r="B2" t="s">
        <v>39</v>
      </c>
      <c r="C2" t="s">
        <v>40</v>
      </c>
      <c r="D2" t="s">
        <v>41</v>
      </c>
      <c r="F2" t="s">
        <v>50</v>
      </c>
      <c r="G2" t="s">
        <v>52</v>
      </c>
      <c r="H2" t="s">
        <v>55</v>
      </c>
    </row>
    <row r="3" spans="2:11" x14ac:dyDescent="0.35">
      <c r="F3" t="s">
        <v>47</v>
      </c>
      <c r="G3" t="s">
        <v>49</v>
      </c>
      <c r="H3" t="s">
        <v>44</v>
      </c>
    </row>
    <row r="4" spans="2:11" x14ac:dyDescent="0.35">
      <c r="F4" t="s">
        <v>49</v>
      </c>
      <c r="G4" t="s">
        <v>44</v>
      </c>
      <c r="H4" t="s">
        <v>48</v>
      </c>
    </row>
    <row r="5" spans="2:11" x14ac:dyDescent="0.35">
      <c r="B5" t="s">
        <v>42</v>
      </c>
      <c r="C5" s="2">
        <v>5000000</v>
      </c>
    </row>
    <row r="6" spans="2:11" x14ac:dyDescent="0.35">
      <c r="B6" t="s">
        <v>43</v>
      </c>
      <c r="C6" s="2">
        <v>70000000</v>
      </c>
      <c r="F6" t="s">
        <v>51</v>
      </c>
      <c r="G6" t="s">
        <v>53</v>
      </c>
      <c r="H6" t="s">
        <v>54</v>
      </c>
    </row>
    <row r="8" spans="2:11" x14ac:dyDescent="0.35">
      <c r="B8" t="s">
        <v>39</v>
      </c>
      <c r="C8">
        <f>C5/C6</f>
        <v>7.1428571428571425E-2</v>
      </c>
      <c r="D8">
        <f>C8*100</f>
        <v>7.1428571428571423</v>
      </c>
    </row>
    <row r="10" spans="2:11" x14ac:dyDescent="0.35">
      <c r="C10">
        <v>2020</v>
      </c>
      <c r="D10">
        <v>2019</v>
      </c>
      <c r="F10" t="s">
        <v>50</v>
      </c>
      <c r="G10" t="s">
        <v>52</v>
      </c>
      <c r="H10" t="s">
        <v>56</v>
      </c>
      <c r="I10" t="s">
        <v>39</v>
      </c>
    </row>
    <row r="11" spans="2:11" x14ac:dyDescent="0.35">
      <c r="B11" t="s">
        <v>44</v>
      </c>
      <c r="C11" s="9">
        <v>227983</v>
      </c>
      <c r="D11" s="9">
        <v>241635</v>
      </c>
      <c r="E11">
        <v>2020</v>
      </c>
      <c r="F11" s="11">
        <f>C14/C13</f>
        <v>3.576546340727612E-2</v>
      </c>
      <c r="G11" s="12">
        <f>C13/C11</f>
        <v>1.8610685884473843</v>
      </c>
      <c r="H11" s="12">
        <f>C11/C12</f>
        <v>2.4018436578171092</v>
      </c>
      <c r="I11" s="10">
        <f>F11*G11*H11</f>
        <v>0.15987147071217869</v>
      </c>
      <c r="J11" s="10"/>
      <c r="K11" s="13"/>
    </row>
    <row r="12" spans="2:11" x14ac:dyDescent="0.35">
      <c r="B12" t="s">
        <v>48</v>
      </c>
      <c r="C12" s="9">
        <v>94920</v>
      </c>
      <c r="D12" s="9">
        <v>109626</v>
      </c>
      <c r="E12">
        <v>2019</v>
      </c>
      <c r="F12" s="11">
        <f>D14/D13</f>
        <v>6.9020870269775783E-2</v>
      </c>
      <c r="G12" s="12">
        <f>D13/D11</f>
        <v>1.9000641463364165</v>
      </c>
      <c r="H12" s="12">
        <f>D11/D12</f>
        <v>2.2041760166383888</v>
      </c>
      <c r="I12" s="10">
        <f>F12*G12*H12</f>
        <v>0.28906463795085108</v>
      </c>
    </row>
    <row r="13" spans="2:11" x14ac:dyDescent="0.35">
      <c r="B13" t="s">
        <v>49</v>
      </c>
      <c r="C13" s="9">
        <v>424292</v>
      </c>
      <c r="D13" s="9">
        <v>459122</v>
      </c>
    </row>
    <row r="14" spans="2:11" x14ac:dyDescent="0.35">
      <c r="B14" t="s">
        <v>47</v>
      </c>
      <c r="C14" s="9">
        <v>15175</v>
      </c>
      <c r="D14" s="9">
        <v>31689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05000-580D-4FB9-A991-D20990609D71}">
  <dimension ref="B1:O14"/>
  <sheetViews>
    <sheetView zoomScale="120" zoomScaleNormal="120" workbookViewId="0">
      <selection activeCell="N15" sqref="N15"/>
    </sheetView>
  </sheetViews>
  <sheetFormatPr defaultRowHeight="14.5" x14ac:dyDescent="0.35"/>
  <cols>
    <col min="1" max="1" width="5.1796875" customWidth="1"/>
    <col min="3" max="3" width="12.26953125" bestFit="1" customWidth="1"/>
    <col min="7" max="7" width="18.1796875" customWidth="1"/>
    <col min="8" max="9" width="0" hidden="1" customWidth="1"/>
    <col min="10" max="10" width="4" customWidth="1"/>
    <col min="13" max="13" width="9.81640625" bestFit="1" customWidth="1"/>
    <col min="15" max="15" width="9.81640625" bestFit="1" customWidth="1"/>
  </cols>
  <sheetData>
    <row r="1" spans="2:15" x14ac:dyDescent="0.35">
      <c r="B1" t="s">
        <v>57</v>
      </c>
      <c r="E1" t="s">
        <v>62</v>
      </c>
    </row>
    <row r="2" spans="2:15" x14ac:dyDescent="0.35">
      <c r="E2" t="s">
        <v>63</v>
      </c>
      <c r="K2" t="s">
        <v>28</v>
      </c>
      <c r="L2" t="s">
        <v>74</v>
      </c>
      <c r="M2" t="s">
        <v>27</v>
      </c>
      <c r="N2" t="s">
        <v>75</v>
      </c>
      <c r="O2" t="s">
        <v>42</v>
      </c>
    </row>
    <row r="3" spans="2:15" x14ac:dyDescent="0.35">
      <c r="B3" t="s">
        <v>58</v>
      </c>
      <c r="C3">
        <f>N12</f>
        <v>17</v>
      </c>
      <c r="E3" t="s">
        <v>64</v>
      </c>
      <c r="G3" t="s">
        <v>66</v>
      </c>
      <c r="K3">
        <v>0</v>
      </c>
      <c r="L3">
        <f>K3*$C$3</f>
        <v>0</v>
      </c>
      <c r="M3" s="3">
        <f>$C$5</f>
        <v>40000</v>
      </c>
      <c r="N3">
        <f>K3*$C$4</f>
        <v>0</v>
      </c>
      <c r="O3" s="3">
        <f>N3-L3-M3</f>
        <v>-40000</v>
      </c>
    </row>
    <row r="4" spans="2:15" x14ac:dyDescent="0.35">
      <c r="B4" t="s">
        <v>59</v>
      </c>
      <c r="C4">
        <f>N13</f>
        <v>25</v>
      </c>
      <c r="E4" t="s">
        <v>65</v>
      </c>
      <c r="K4">
        <v>1500</v>
      </c>
      <c r="L4">
        <f t="shared" ref="L4:L9" si="0">K4*$C$3</f>
        <v>25500</v>
      </c>
      <c r="M4" s="3">
        <f t="shared" ref="M4:M9" si="1">$C$5</f>
        <v>40000</v>
      </c>
      <c r="N4">
        <f t="shared" ref="N4:N9" si="2">K4*$C$4</f>
        <v>37500</v>
      </c>
      <c r="O4" s="3">
        <f t="shared" ref="O4:O9" si="3">N4-L4-M4</f>
        <v>-28000</v>
      </c>
    </row>
    <row r="5" spans="2:15" x14ac:dyDescent="0.35">
      <c r="B5" t="s">
        <v>27</v>
      </c>
      <c r="C5" s="2">
        <f>N14</f>
        <v>40000</v>
      </c>
      <c r="D5" t="s">
        <v>60</v>
      </c>
      <c r="G5" t="s">
        <v>67</v>
      </c>
      <c r="K5">
        <v>3000</v>
      </c>
      <c r="L5">
        <f t="shared" si="0"/>
        <v>51000</v>
      </c>
      <c r="M5" s="3">
        <f t="shared" si="1"/>
        <v>40000</v>
      </c>
      <c r="N5">
        <f t="shared" si="2"/>
        <v>75000</v>
      </c>
      <c r="O5" s="3">
        <f t="shared" si="3"/>
        <v>-16000</v>
      </c>
    </row>
    <row r="6" spans="2:15" x14ac:dyDescent="0.35">
      <c r="G6" t="s">
        <v>68</v>
      </c>
      <c r="K6">
        <v>4500</v>
      </c>
      <c r="L6">
        <f t="shared" si="0"/>
        <v>76500</v>
      </c>
      <c r="M6" s="3">
        <f t="shared" si="1"/>
        <v>40000</v>
      </c>
      <c r="N6">
        <f t="shared" si="2"/>
        <v>112500</v>
      </c>
      <c r="O6" s="3">
        <f t="shared" si="3"/>
        <v>-4000</v>
      </c>
    </row>
    <row r="7" spans="2:15" x14ac:dyDescent="0.35">
      <c r="B7" t="s">
        <v>61</v>
      </c>
      <c r="C7">
        <f>C4-C3</f>
        <v>8</v>
      </c>
      <c r="G7" t="s">
        <v>69</v>
      </c>
      <c r="K7">
        <v>6000</v>
      </c>
      <c r="L7">
        <f t="shared" si="0"/>
        <v>102000</v>
      </c>
      <c r="M7" s="3">
        <f t="shared" si="1"/>
        <v>40000</v>
      </c>
      <c r="N7">
        <f t="shared" si="2"/>
        <v>150000</v>
      </c>
      <c r="O7" s="3">
        <f t="shared" si="3"/>
        <v>8000</v>
      </c>
    </row>
    <row r="8" spans="2:15" x14ac:dyDescent="0.35">
      <c r="G8" t="s">
        <v>70</v>
      </c>
      <c r="K8">
        <v>7500</v>
      </c>
      <c r="L8">
        <f t="shared" si="0"/>
        <v>127500</v>
      </c>
      <c r="M8" s="3">
        <f t="shared" si="1"/>
        <v>40000</v>
      </c>
      <c r="N8">
        <f t="shared" si="2"/>
        <v>187500</v>
      </c>
      <c r="O8" s="3">
        <f t="shared" si="3"/>
        <v>20000</v>
      </c>
    </row>
    <row r="9" spans="2:15" x14ac:dyDescent="0.35">
      <c r="G9" t="s">
        <v>73</v>
      </c>
      <c r="K9">
        <v>9000</v>
      </c>
      <c r="L9">
        <f t="shared" si="0"/>
        <v>153000</v>
      </c>
      <c r="M9" s="3">
        <f t="shared" si="1"/>
        <v>40000</v>
      </c>
      <c r="N9">
        <f t="shared" si="2"/>
        <v>225000</v>
      </c>
      <c r="O9" s="3">
        <f t="shared" si="3"/>
        <v>32000</v>
      </c>
    </row>
    <row r="10" spans="2:15" x14ac:dyDescent="0.35">
      <c r="F10" t="s">
        <v>71</v>
      </c>
      <c r="G10">
        <f>C5/(C4-C3)</f>
        <v>5000</v>
      </c>
      <c r="H10">
        <f>G10/20</f>
        <v>250</v>
      </c>
      <c r="I10">
        <f>H10/8</f>
        <v>31.25</v>
      </c>
    </row>
    <row r="11" spans="2:15" x14ac:dyDescent="0.35">
      <c r="B11" t="s">
        <v>42</v>
      </c>
      <c r="C11" s="1">
        <v>30000</v>
      </c>
      <c r="F11" t="s">
        <v>72</v>
      </c>
      <c r="G11">
        <f>(C5+C11)/(C4-C3)</f>
        <v>8750</v>
      </c>
      <c r="H11">
        <f>G11/20</f>
        <v>437.5</v>
      </c>
      <c r="I11">
        <f>H11/8</f>
        <v>54.6875</v>
      </c>
    </row>
    <row r="12" spans="2:15" x14ac:dyDescent="0.35">
      <c r="N12">
        <v>17</v>
      </c>
    </row>
    <row r="13" spans="2:15" x14ac:dyDescent="0.35">
      <c r="N13">
        <v>25</v>
      </c>
    </row>
    <row r="14" spans="2:15" x14ac:dyDescent="0.35">
      <c r="N14">
        <v>40000</v>
      </c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BF25C-385E-4278-BAD9-4AA13A577183}">
  <dimension ref="B1:L27"/>
  <sheetViews>
    <sheetView tabSelected="1" zoomScale="120" zoomScaleNormal="120" workbookViewId="0">
      <selection activeCell="L3" sqref="L3"/>
    </sheetView>
  </sheetViews>
  <sheetFormatPr defaultRowHeight="14.5" x14ac:dyDescent="0.35"/>
  <cols>
    <col min="2" max="2" width="11.26953125" bestFit="1" customWidth="1"/>
    <col min="3" max="3" width="15.36328125" bestFit="1" customWidth="1"/>
    <col min="4" max="5" width="8.81640625" bestFit="1" customWidth="1"/>
    <col min="6" max="6" width="15.26953125" customWidth="1"/>
    <col min="8" max="8" width="13.36328125" bestFit="1" customWidth="1"/>
    <col min="9" max="9" width="14.54296875" bestFit="1" customWidth="1"/>
    <col min="10" max="10" width="13.36328125" bestFit="1" customWidth="1"/>
    <col min="11" max="11" width="9.81640625" bestFit="1" customWidth="1"/>
  </cols>
  <sheetData>
    <row r="1" spans="2:12" x14ac:dyDescent="0.35">
      <c r="C1" t="s">
        <v>28</v>
      </c>
      <c r="D1" t="s">
        <v>59</v>
      </c>
      <c r="E1" t="s">
        <v>58</v>
      </c>
      <c r="F1" t="s">
        <v>27</v>
      </c>
      <c r="H1" t="s">
        <v>75</v>
      </c>
      <c r="I1" t="s">
        <v>74</v>
      </c>
      <c r="J1" t="s">
        <v>103</v>
      </c>
      <c r="K1" t="s">
        <v>27</v>
      </c>
    </row>
    <row r="2" spans="2:12" x14ac:dyDescent="0.35">
      <c r="B2" t="s">
        <v>99</v>
      </c>
      <c r="C2">
        <v>3500</v>
      </c>
      <c r="D2" s="2">
        <v>25</v>
      </c>
      <c r="E2" s="2">
        <v>17</v>
      </c>
      <c r="F2" s="2"/>
      <c r="G2" s="10">
        <f>H2/$H$5</f>
        <v>0.21739130434782608</v>
      </c>
      <c r="H2" s="3">
        <f>C2*D2</f>
        <v>87500</v>
      </c>
      <c r="I2" s="3">
        <f>C2*E2</f>
        <v>59500</v>
      </c>
      <c r="J2" s="3">
        <f>H2-I2</f>
        <v>28000</v>
      </c>
      <c r="L2" s="4">
        <f>(D2-E2)/D2</f>
        <v>0.32</v>
      </c>
    </row>
    <row r="3" spans="2:12" x14ac:dyDescent="0.35">
      <c r="B3" t="s">
        <v>100</v>
      </c>
      <c r="C3">
        <v>3000</v>
      </c>
      <c r="D3" s="2">
        <v>30</v>
      </c>
      <c r="E3" s="2">
        <v>15</v>
      </c>
      <c r="F3" s="2"/>
      <c r="G3" s="10">
        <f t="shared" ref="G3:G4" si="0">H3/$H$5</f>
        <v>0.2236024844720497</v>
      </c>
      <c r="H3" s="3">
        <f t="shared" ref="H3:H4" si="1">C3*D3</f>
        <v>90000</v>
      </c>
      <c r="I3" s="3">
        <f t="shared" ref="I3:I4" si="2">C3*E3</f>
        <v>45000</v>
      </c>
      <c r="J3" s="3">
        <f t="shared" ref="J3:J4" si="3">H3-I3</f>
        <v>45000</v>
      </c>
      <c r="L3" s="4">
        <f t="shared" ref="L3:L4" si="4">(D3-E3)/D3</f>
        <v>0.5</v>
      </c>
    </row>
    <row r="4" spans="2:12" x14ac:dyDescent="0.35">
      <c r="B4" t="s">
        <v>101</v>
      </c>
      <c r="C4">
        <v>5000</v>
      </c>
      <c r="D4" s="2">
        <v>45</v>
      </c>
      <c r="E4" s="2">
        <v>30</v>
      </c>
      <c r="F4" s="2"/>
      <c r="G4" s="10">
        <f t="shared" si="0"/>
        <v>0.55900621118012417</v>
      </c>
      <c r="H4" s="3">
        <f t="shared" si="1"/>
        <v>225000</v>
      </c>
      <c r="I4" s="3">
        <f t="shared" si="2"/>
        <v>150000</v>
      </c>
      <c r="J4" s="3">
        <f t="shared" si="3"/>
        <v>75000</v>
      </c>
      <c r="L4" s="4">
        <f t="shared" si="4"/>
        <v>0.33333333333333331</v>
      </c>
    </row>
    <row r="5" spans="2:12" x14ac:dyDescent="0.35">
      <c r="D5" s="2"/>
      <c r="E5" s="2"/>
      <c r="F5" s="2">
        <v>40000</v>
      </c>
      <c r="H5" s="3">
        <f>SUM(H2:H4)</f>
        <v>402500</v>
      </c>
      <c r="I5" s="3">
        <f>SUM(I2:I4)</f>
        <v>254500</v>
      </c>
      <c r="J5" s="3">
        <f>H5-I5</f>
        <v>148000</v>
      </c>
      <c r="K5" s="3">
        <f>F5</f>
        <v>40000</v>
      </c>
    </row>
    <row r="6" spans="2:12" x14ac:dyDescent="0.35">
      <c r="B6" t="s">
        <v>102</v>
      </c>
      <c r="C6" s="3">
        <f>H5-I5-K5</f>
        <v>108000</v>
      </c>
    </row>
    <row r="7" spans="2:12" x14ac:dyDescent="0.35">
      <c r="H7">
        <f>H5/$H$5</f>
        <v>1</v>
      </c>
      <c r="I7" s="12">
        <f>I5/$H$5</f>
        <v>0.63229813664596268</v>
      </c>
      <c r="J7" s="12">
        <f>J5/$H$5</f>
        <v>0.36770186335403726</v>
      </c>
    </row>
    <row r="11" spans="2:12" x14ac:dyDescent="0.35">
      <c r="B11" t="s">
        <v>104</v>
      </c>
      <c r="C11" s="1">
        <f>F5/(H7-I7)</f>
        <v>108783.78378378377</v>
      </c>
      <c r="F11" t="s">
        <v>105</v>
      </c>
    </row>
    <row r="12" spans="2:12" x14ac:dyDescent="0.35">
      <c r="C12" s="16"/>
    </row>
    <row r="13" spans="2:12" x14ac:dyDescent="0.35">
      <c r="B13" t="s">
        <v>107</v>
      </c>
      <c r="C13" s="1">
        <f>(F5+60000)/(H7-I7)</f>
        <v>271959.45945945941</v>
      </c>
      <c r="F13" t="s">
        <v>106</v>
      </c>
      <c r="H13" s="4">
        <f>G2*$C$13</f>
        <v>59121.621621621613</v>
      </c>
      <c r="I13" s="17">
        <f>H13/D2</f>
        <v>2364.8648648648646</v>
      </c>
    </row>
    <row r="14" spans="2:12" x14ac:dyDescent="0.35">
      <c r="H14" s="4">
        <f t="shared" ref="H14:H15" si="5">G3*$C$13</f>
        <v>60810.810810810799</v>
      </c>
      <c r="I14" s="17">
        <f t="shared" ref="I14:I15" si="6">H14/D3</f>
        <v>2027.0270270270266</v>
      </c>
    </row>
    <row r="15" spans="2:12" x14ac:dyDescent="0.35">
      <c r="H15" s="4">
        <f t="shared" si="5"/>
        <v>152027.02702702698</v>
      </c>
      <c r="I15" s="17">
        <f t="shared" si="6"/>
        <v>3378.3783783783774</v>
      </c>
    </row>
    <row r="16" spans="2:12" x14ac:dyDescent="0.35">
      <c r="C16" t="s">
        <v>28</v>
      </c>
      <c r="D16" t="s">
        <v>59</v>
      </c>
      <c r="E16" t="s">
        <v>58</v>
      </c>
      <c r="F16" t="s">
        <v>27</v>
      </c>
    </row>
    <row r="17" spans="2:11" x14ac:dyDescent="0.35">
      <c r="B17" t="s">
        <v>99</v>
      </c>
      <c r="C17">
        <v>8000</v>
      </c>
      <c r="D17" s="2">
        <v>25</v>
      </c>
      <c r="E17" s="2">
        <v>17</v>
      </c>
      <c r="F17" s="2"/>
      <c r="G17" s="10">
        <f>H17/$H$20</f>
        <v>0.31496062992125984</v>
      </c>
      <c r="H17" s="3">
        <f>D17*C17</f>
        <v>200000</v>
      </c>
      <c r="I17" s="3">
        <f>E17*C17</f>
        <v>136000</v>
      </c>
      <c r="J17" s="3">
        <f>H17-I17</f>
        <v>64000</v>
      </c>
    </row>
    <row r="18" spans="2:11" x14ac:dyDescent="0.35">
      <c r="B18" t="s">
        <v>100</v>
      </c>
      <c r="C18">
        <v>4000</v>
      </c>
      <c r="D18" s="2">
        <v>30</v>
      </c>
      <c r="E18" s="2">
        <v>15</v>
      </c>
      <c r="F18" s="2"/>
      <c r="G18" s="10">
        <f t="shared" ref="G18:G19" si="7">H18/$H$20</f>
        <v>0.1889763779527559</v>
      </c>
      <c r="H18" s="3">
        <f t="shared" ref="H18:H19" si="8">D18*C18</f>
        <v>120000</v>
      </c>
      <c r="I18" s="3">
        <f t="shared" ref="I18:I19" si="9">E18*C18</f>
        <v>60000</v>
      </c>
      <c r="J18" s="3">
        <f t="shared" ref="J18:J19" si="10">H18-I18</f>
        <v>60000</v>
      </c>
    </row>
    <row r="19" spans="2:11" x14ac:dyDescent="0.35">
      <c r="B19" t="s">
        <v>101</v>
      </c>
      <c r="C19">
        <v>7000</v>
      </c>
      <c r="D19" s="2">
        <v>45</v>
      </c>
      <c r="E19" s="2">
        <v>30</v>
      </c>
      <c r="F19" s="2"/>
      <c r="G19" s="10">
        <f t="shared" si="7"/>
        <v>0.49606299212598426</v>
      </c>
      <c r="H19" s="3">
        <f t="shared" si="8"/>
        <v>315000</v>
      </c>
      <c r="I19" s="3">
        <f t="shared" si="9"/>
        <v>210000</v>
      </c>
      <c r="J19" s="3">
        <f t="shared" si="10"/>
        <v>105000</v>
      </c>
    </row>
    <row r="20" spans="2:11" x14ac:dyDescent="0.35">
      <c r="D20" s="2"/>
      <c r="E20" s="2"/>
      <c r="F20" s="2">
        <v>40000</v>
      </c>
      <c r="H20" s="3">
        <f>SUM(H17:H19)</f>
        <v>635000</v>
      </c>
      <c r="I20" s="3">
        <f t="shared" ref="I20:J20" si="11">SUM(I17:I19)</f>
        <v>406000</v>
      </c>
      <c r="J20" s="3">
        <f t="shared" si="11"/>
        <v>229000</v>
      </c>
      <c r="K20" s="3">
        <f>K5</f>
        <v>40000</v>
      </c>
    </row>
    <row r="22" spans="2:11" x14ac:dyDescent="0.35">
      <c r="B22" t="s">
        <v>108</v>
      </c>
      <c r="C22" s="3">
        <f>H20-I20-K20</f>
        <v>189000</v>
      </c>
      <c r="H22">
        <f>H20/$H$20</f>
        <v>1</v>
      </c>
      <c r="I22" s="12">
        <f>I20/$H$20</f>
        <v>0.6393700787401575</v>
      </c>
      <c r="J22" s="12">
        <f>J20/$H$20</f>
        <v>0.3606299212598425</v>
      </c>
    </row>
    <row r="23" spans="2:11" x14ac:dyDescent="0.35">
      <c r="B23" t="s">
        <v>109</v>
      </c>
      <c r="C23" s="3">
        <f>C22-C6</f>
        <v>81000</v>
      </c>
    </row>
    <row r="24" spans="2:11" x14ac:dyDescent="0.35">
      <c r="H24" s="3">
        <f>H20</f>
        <v>635000</v>
      </c>
      <c r="I24" s="1">
        <f>H24*I7</f>
        <v>401509.3167701863</v>
      </c>
      <c r="J24" s="1">
        <f>H24*J7</f>
        <v>233490.68322981367</v>
      </c>
    </row>
    <row r="25" spans="2:11" x14ac:dyDescent="0.35">
      <c r="I25" s="18" t="s">
        <v>110</v>
      </c>
      <c r="J25" s="19">
        <f>J24-J5</f>
        <v>85490.683229813672</v>
      </c>
    </row>
    <row r="26" spans="2:11" x14ac:dyDescent="0.35">
      <c r="I26" s="20" t="s">
        <v>111</v>
      </c>
      <c r="J26" s="21">
        <f>(J7-J22)*H24</f>
        <v>4490.6832298136733</v>
      </c>
    </row>
    <row r="27" spans="2:11" x14ac:dyDescent="0.35">
      <c r="J27" s="4">
        <f>J25-J26</f>
        <v>81000</v>
      </c>
    </row>
  </sheetData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FE387-3AA7-4A5D-85A1-966F86D8B18B}">
  <dimension ref="B2:F22"/>
  <sheetViews>
    <sheetView topLeftCell="A7" zoomScale="130" zoomScaleNormal="130" workbookViewId="0">
      <selection activeCell="E14" sqref="E14"/>
    </sheetView>
  </sheetViews>
  <sheetFormatPr defaultRowHeight="14.5" x14ac:dyDescent="0.35"/>
  <cols>
    <col min="2" max="2" width="11.6328125" customWidth="1"/>
    <col min="3" max="3" width="13.90625" bestFit="1" customWidth="1"/>
    <col min="4" max="4" width="12.7265625" bestFit="1" customWidth="1"/>
    <col min="5" max="5" width="26.453125" bestFit="1" customWidth="1"/>
  </cols>
  <sheetData>
    <row r="2" spans="2:6" x14ac:dyDescent="0.35">
      <c r="C2" t="s">
        <v>44</v>
      </c>
      <c r="D2" t="s">
        <v>45</v>
      </c>
    </row>
    <row r="3" spans="2:6" x14ac:dyDescent="0.35">
      <c r="B3" t="s">
        <v>74</v>
      </c>
      <c r="C3" s="2">
        <v>5</v>
      </c>
      <c r="D3" s="2">
        <v>15</v>
      </c>
    </row>
    <row r="4" spans="2:6" x14ac:dyDescent="0.35">
      <c r="B4" t="s">
        <v>27</v>
      </c>
      <c r="C4" s="2">
        <v>100000</v>
      </c>
      <c r="D4" s="2">
        <v>50000</v>
      </c>
    </row>
    <row r="5" spans="2:6" x14ac:dyDescent="0.35">
      <c r="F5" s="14">
        <f>(C4-D4)/(D3-C3)</f>
        <v>5000</v>
      </c>
    </row>
    <row r="7" spans="2:6" x14ac:dyDescent="0.35">
      <c r="B7" t="s">
        <v>76</v>
      </c>
      <c r="E7" t="s">
        <v>77</v>
      </c>
    </row>
    <row r="8" spans="2:6" x14ac:dyDescent="0.35">
      <c r="E8" t="s">
        <v>78</v>
      </c>
    </row>
    <row r="11" spans="2:6" x14ac:dyDescent="0.35">
      <c r="B11" t="s">
        <v>79</v>
      </c>
    </row>
    <row r="13" spans="2:6" x14ac:dyDescent="0.35">
      <c r="B13" t="s">
        <v>80</v>
      </c>
      <c r="C13">
        <v>8</v>
      </c>
      <c r="E13" t="s">
        <v>85</v>
      </c>
    </row>
    <row r="14" spans="2:6" x14ac:dyDescent="0.35">
      <c r="B14" t="s">
        <v>81</v>
      </c>
      <c r="C14" s="2">
        <v>200000</v>
      </c>
    </row>
    <row r="16" spans="2:6" x14ac:dyDescent="0.35">
      <c r="B16" t="s">
        <v>82</v>
      </c>
      <c r="C16">
        <v>15000</v>
      </c>
    </row>
    <row r="18" spans="2:4" x14ac:dyDescent="0.35">
      <c r="B18" t="s">
        <v>83</v>
      </c>
      <c r="C18">
        <v>103000</v>
      </c>
    </row>
    <row r="20" spans="2:4" x14ac:dyDescent="0.35">
      <c r="B20" t="s">
        <v>84</v>
      </c>
      <c r="C20" s="1">
        <f>(C14/(C13*C16))*(C13*C16-C18)</f>
        <v>28333.333333333336</v>
      </c>
    </row>
    <row r="22" spans="2:4" x14ac:dyDescent="0.35">
      <c r="D22" s="3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78DBD-23CB-4EDA-B230-8BDA30A63485}">
  <dimension ref="B1:D18"/>
  <sheetViews>
    <sheetView zoomScale="120" zoomScaleNormal="120" workbookViewId="0">
      <selection activeCell="D20" sqref="B20:D20"/>
    </sheetView>
  </sheetViews>
  <sheetFormatPr defaultRowHeight="14.5" x14ac:dyDescent="0.35"/>
  <cols>
    <col min="3" max="3" width="26.1796875" bestFit="1" customWidth="1"/>
    <col min="4" max="4" width="23.08984375" bestFit="1" customWidth="1"/>
  </cols>
  <sheetData>
    <row r="1" spans="2:4" x14ac:dyDescent="0.35">
      <c r="C1" t="s">
        <v>28</v>
      </c>
      <c r="D1" t="s">
        <v>86</v>
      </c>
    </row>
    <row r="2" spans="2:4" x14ac:dyDescent="0.35">
      <c r="B2" t="s">
        <v>44</v>
      </c>
      <c r="C2" s="9">
        <v>750000</v>
      </c>
      <c r="D2" s="1">
        <v>22250000</v>
      </c>
    </row>
    <row r="3" spans="2:4" x14ac:dyDescent="0.35">
      <c r="B3" t="s">
        <v>45</v>
      </c>
      <c r="C3" s="9">
        <v>900000</v>
      </c>
      <c r="D3" s="1">
        <v>26000000</v>
      </c>
    </row>
    <row r="4" spans="2:4" x14ac:dyDescent="0.35">
      <c r="C4" s="15">
        <f>C3-C2</f>
        <v>150000</v>
      </c>
      <c r="D4" s="15">
        <f>D3-D2</f>
        <v>3750000</v>
      </c>
    </row>
    <row r="6" spans="2:4" x14ac:dyDescent="0.35">
      <c r="B6" t="s">
        <v>89</v>
      </c>
      <c r="D6" t="s">
        <v>87</v>
      </c>
    </row>
    <row r="7" spans="2:4" x14ac:dyDescent="0.35">
      <c r="B7" t="s">
        <v>88</v>
      </c>
      <c r="D7" t="s">
        <v>90</v>
      </c>
    </row>
    <row r="9" spans="2:4" x14ac:dyDescent="0.35">
      <c r="D9" t="s">
        <v>91</v>
      </c>
    </row>
    <row r="10" spans="2:4" x14ac:dyDescent="0.35">
      <c r="D10" t="s">
        <v>92</v>
      </c>
    </row>
    <row r="11" spans="2:4" x14ac:dyDescent="0.35">
      <c r="C11" t="s">
        <v>58</v>
      </c>
      <c r="D11">
        <f>D4/C4</f>
        <v>25</v>
      </c>
    </row>
    <row r="13" spans="2:4" x14ac:dyDescent="0.35">
      <c r="C13" t="s">
        <v>93</v>
      </c>
    </row>
    <row r="14" spans="2:4" x14ac:dyDescent="0.35">
      <c r="D14" s="4">
        <f>D2-D11*C2</f>
        <v>3500000</v>
      </c>
    </row>
    <row r="16" spans="2:4" x14ac:dyDescent="0.35">
      <c r="B16" t="s">
        <v>46</v>
      </c>
      <c r="C16">
        <v>850000</v>
      </c>
      <c r="D16" s="4">
        <f>D14+25*C16</f>
        <v>24750000</v>
      </c>
    </row>
    <row r="17" spans="3:4" x14ac:dyDescent="0.35">
      <c r="C17" t="s">
        <v>94</v>
      </c>
      <c r="D17" s="15">
        <f>25*C2*0.04</f>
        <v>750000</v>
      </c>
    </row>
    <row r="18" spans="3:4" x14ac:dyDescent="0.35">
      <c r="C18" t="s">
        <v>95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6A879-ADDB-4D62-9950-10329957CBB8}">
  <dimension ref="B1:F18"/>
  <sheetViews>
    <sheetView zoomScale="120" zoomScaleNormal="120" workbookViewId="0">
      <selection activeCell="D3" sqref="D3"/>
    </sheetView>
  </sheetViews>
  <sheetFormatPr defaultRowHeight="14.5" x14ac:dyDescent="0.35"/>
  <cols>
    <col min="3" max="3" width="26.1796875" bestFit="1" customWidth="1"/>
    <col min="4" max="4" width="23.08984375" bestFit="1" customWidth="1"/>
    <col min="5" max="5" width="20.36328125" customWidth="1"/>
  </cols>
  <sheetData>
    <row r="1" spans="2:6" x14ac:dyDescent="0.35">
      <c r="C1" t="s">
        <v>28</v>
      </c>
      <c r="D1" t="s">
        <v>86</v>
      </c>
    </row>
    <row r="2" spans="2:6" x14ac:dyDescent="0.35">
      <c r="B2" t="s">
        <v>44</v>
      </c>
      <c r="C2" s="9">
        <v>750000</v>
      </c>
      <c r="D2" s="1">
        <v>22250000</v>
      </c>
      <c r="E2" t="s">
        <v>96</v>
      </c>
    </row>
    <row r="3" spans="2:6" x14ac:dyDescent="0.35">
      <c r="B3" t="s">
        <v>45</v>
      </c>
      <c r="C3" s="9">
        <v>900000</v>
      </c>
      <c r="D3" s="1">
        <v>26000000</v>
      </c>
    </row>
    <row r="4" spans="2:6" x14ac:dyDescent="0.35">
      <c r="C4" s="15">
        <f>C3-C2</f>
        <v>150000</v>
      </c>
      <c r="D4" s="15">
        <f>D3-D2</f>
        <v>3750000</v>
      </c>
    </row>
    <row r="6" spans="2:6" x14ac:dyDescent="0.35">
      <c r="B6" t="s">
        <v>89</v>
      </c>
      <c r="D6" t="s">
        <v>98</v>
      </c>
      <c r="F6" t="s">
        <v>97</v>
      </c>
    </row>
    <row r="7" spans="2:6" x14ac:dyDescent="0.35">
      <c r="B7" t="s">
        <v>88</v>
      </c>
      <c r="D7" t="s">
        <v>90</v>
      </c>
    </row>
    <row r="9" spans="2:6" x14ac:dyDescent="0.35">
      <c r="D9" t="s">
        <v>91</v>
      </c>
    </row>
    <row r="10" spans="2:6" x14ac:dyDescent="0.35">
      <c r="D10" t="s">
        <v>92</v>
      </c>
    </row>
    <row r="11" spans="2:6" x14ac:dyDescent="0.35">
      <c r="C11" t="s">
        <v>58</v>
      </c>
      <c r="D11">
        <f>D4/C4</f>
        <v>25</v>
      </c>
    </row>
    <row r="13" spans="2:6" x14ac:dyDescent="0.35">
      <c r="C13" t="s">
        <v>93</v>
      </c>
    </row>
    <row r="14" spans="2:6" x14ac:dyDescent="0.35">
      <c r="D14" s="4">
        <f>D2-D11*C2</f>
        <v>3500000</v>
      </c>
    </row>
    <row r="16" spans="2:6" x14ac:dyDescent="0.35">
      <c r="B16" t="s">
        <v>46</v>
      </c>
      <c r="C16">
        <v>850000</v>
      </c>
      <c r="D16" s="4">
        <f>D14+25*C16</f>
        <v>24750000</v>
      </c>
    </row>
    <row r="17" spans="3:4" x14ac:dyDescent="0.35">
      <c r="C17" t="s">
        <v>94</v>
      </c>
      <c r="D17" s="15">
        <f>25*C2*0.04</f>
        <v>750000</v>
      </c>
    </row>
    <row r="18" spans="3:4" x14ac:dyDescent="0.35">
      <c r="C18" t="s">
        <v>95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odpisy</vt:lpstr>
      <vt:lpstr>Pojetí Zisku</vt:lpstr>
      <vt:lpstr>Hospodárnost</vt:lpstr>
      <vt:lpstr>Efektivnost</vt:lpstr>
      <vt:lpstr>BZ_VN_FN</vt:lpstr>
      <vt:lpstr>BZ_hodnotově</vt:lpstr>
      <vt:lpstr>VN_FN</vt:lpstr>
      <vt:lpstr>Metoda_dvou bodu</vt:lpstr>
      <vt:lpstr>Metoda_dvou bodu (2)</vt:lpstr>
    </vt:vector>
  </TitlesOfParts>
  <Company>MV?O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mensikm</dc:creator>
  <cp:lastModifiedBy>mensikm</cp:lastModifiedBy>
  <dcterms:created xsi:type="dcterms:W3CDTF">2022-03-05T11:03:52Z</dcterms:created>
  <dcterms:modified xsi:type="dcterms:W3CDTF">2022-03-05T17:34:42Z</dcterms:modified>
</cp:coreProperties>
</file>